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409\aClients\Other\UTA\Garage\2018 BCA\"/>
    </mc:Choice>
  </mc:AlternateContent>
  <bookViews>
    <workbookView xWindow="0" yWindow="0" windowWidth="15120" windowHeight="7185"/>
  </bookViews>
  <sheets>
    <sheet name="Summary" sheetId="2" r:id="rId1"/>
    <sheet name="Assumptions" sheetId="3" r:id="rId2"/>
    <sheet name="Ridership" sheetId="4" r:id="rId3"/>
    <sheet name="Economic Competitiveness" sheetId="5" r:id="rId4"/>
    <sheet name="Environmental Protection" sheetId="6" r:id="rId5"/>
    <sheet name="Safety" sheetId="7" r:id="rId6"/>
    <sheet name="Other" sheetId="10" r:id="rId7"/>
  </sheets>
  <externalReferences>
    <externalReference r:id="rId8"/>
  </externalReferences>
  <definedNames>
    <definedName name="_xlnm.Print_Area" localSheetId="1">Assumptions!$A$1:$F$2</definedName>
    <definedName name="_xlnm.Print_Area" localSheetId="3">'Economic Competitiveness'!$A$1:$W$745</definedName>
    <definedName name="_xlnm.Print_Area" localSheetId="4">'Environmental Protection'!$A$1:$Q$204</definedName>
    <definedName name="_xlnm.Print_Area" localSheetId="5">Safety!$A$1:$N$61</definedName>
    <definedName name="_xlnm.Print_Area" localSheetId="0">Summary!$A$1:$AF$47</definedName>
    <definedName name="_xlnm.Print_Titles" localSheetId="2">Ridership!$A:$A</definedName>
  </definedNames>
  <calcPr calcId="171027" concurrentCalc="0"/>
</workbook>
</file>

<file path=xl/calcChain.xml><?xml version="1.0" encoding="utf-8"?>
<calcChain xmlns="http://schemas.openxmlformats.org/spreadsheetml/2006/main">
  <c r="N560" i="5" l="1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B5" i="3"/>
  <c r="B22" i="5"/>
  <c r="C22" i="5"/>
  <c r="D22" i="5"/>
  <c r="B23" i="5"/>
  <c r="B28" i="5"/>
  <c r="B48" i="5"/>
  <c r="C56" i="5"/>
  <c r="E7" i="2"/>
  <c r="B27" i="5"/>
  <c r="D42" i="5"/>
  <c r="B42" i="5"/>
  <c r="B43" i="5"/>
  <c r="C42" i="5"/>
  <c r="C43" i="5"/>
  <c r="D43" i="5"/>
  <c r="B49" i="5"/>
  <c r="D56" i="5"/>
  <c r="F7" i="2"/>
  <c r="G7" i="2"/>
  <c r="H7" i="2"/>
  <c r="I7" i="2"/>
  <c r="J7" i="2"/>
  <c r="K7" i="2"/>
  <c r="L7" i="2"/>
  <c r="M7" i="2"/>
  <c r="N7" i="2"/>
  <c r="O7" i="2"/>
  <c r="P7" i="2"/>
  <c r="Q7" i="2"/>
  <c r="N570" i="5"/>
  <c r="R7" i="2"/>
  <c r="S7" i="2"/>
  <c r="T7" i="2"/>
  <c r="U7" i="2"/>
  <c r="V7" i="2"/>
  <c r="Y7" i="2"/>
  <c r="C57" i="5"/>
  <c r="E8" i="2"/>
  <c r="D57" i="5"/>
  <c r="F8" i="2"/>
  <c r="G8" i="2"/>
  <c r="H8" i="2"/>
  <c r="I8" i="2"/>
  <c r="J8" i="2"/>
  <c r="K8" i="2"/>
  <c r="L8" i="2"/>
  <c r="M8" i="2"/>
  <c r="N8" i="2"/>
  <c r="O8" i="2"/>
  <c r="P8" i="2"/>
  <c r="Q8" i="2"/>
  <c r="N571" i="5"/>
  <c r="R8" i="2"/>
  <c r="S8" i="2"/>
  <c r="T8" i="2"/>
  <c r="U8" i="2"/>
  <c r="V8" i="2"/>
  <c r="Y8" i="2"/>
  <c r="C58" i="5"/>
  <c r="E9" i="2"/>
  <c r="D58" i="5"/>
  <c r="F9" i="2"/>
  <c r="G9" i="2"/>
  <c r="H9" i="2"/>
  <c r="I9" i="2"/>
  <c r="J9" i="2"/>
  <c r="K9" i="2"/>
  <c r="L9" i="2"/>
  <c r="M9" i="2"/>
  <c r="N9" i="2"/>
  <c r="O9" i="2"/>
  <c r="P9" i="2"/>
  <c r="Q9" i="2"/>
  <c r="N572" i="5"/>
  <c r="R9" i="2"/>
  <c r="S9" i="2"/>
  <c r="T9" i="2"/>
  <c r="U9" i="2"/>
  <c r="V9" i="2"/>
  <c r="Y9" i="2"/>
  <c r="C59" i="5"/>
  <c r="E10" i="2"/>
  <c r="D59" i="5"/>
  <c r="F10" i="2"/>
  <c r="G10" i="2"/>
  <c r="H10" i="2"/>
  <c r="I10" i="2"/>
  <c r="J10" i="2"/>
  <c r="K10" i="2"/>
  <c r="L10" i="2"/>
  <c r="M10" i="2"/>
  <c r="N10" i="2"/>
  <c r="O10" i="2"/>
  <c r="P10" i="2"/>
  <c r="Q10" i="2"/>
  <c r="N573" i="5"/>
  <c r="R10" i="2"/>
  <c r="S10" i="2"/>
  <c r="T10" i="2"/>
  <c r="U10" i="2"/>
  <c r="V10" i="2"/>
  <c r="Y10" i="2"/>
  <c r="C60" i="5"/>
  <c r="E11" i="2"/>
  <c r="D60" i="5"/>
  <c r="F11" i="2"/>
  <c r="G11" i="2"/>
  <c r="H11" i="2"/>
  <c r="I11" i="2"/>
  <c r="J11" i="2"/>
  <c r="K11" i="2"/>
  <c r="L11" i="2"/>
  <c r="M11" i="2"/>
  <c r="N11" i="2"/>
  <c r="O11" i="2"/>
  <c r="P11" i="2"/>
  <c r="Q11" i="2"/>
  <c r="N574" i="5"/>
  <c r="R11" i="2"/>
  <c r="S11" i="2"/>
  <c r="T11" i="2"/>
  <c r="U11" i="2"/>
  <c r="V11" i="2"/>
  <c r="Y11" i="2"/>
  <c r="C61" i="5"/>
  <c r="E12" i="2"/>
  <c r="D61" i="5"/>
  <c r="F12" i="2"/>
  <c r="G12" i="2"/>
  <c r="H12" i="2"/>
  <c r="I12" i="2"/>
  <c r="J12" i="2"/>
  <c r="K12" i="2"/>
  <c r="L12" i="2"/>
  <c r="M12" i="2"/>
  <c r="N12" i="2"/>
  <c r="O12" i="2"/>
  <c r="P12" i="2"/>
  <c r="Q12" i="2"/>
  <c r="N575" i="5"/>
  <c r="R12" i="2"/>
  <c r="S12" i="2"/>
  <c r="T12" i="2"/>
  <c r="U12" i="2"/>
  <c r="V12" i="2"/>
  <c r="Y12" i="2"/>
  <c r="C62" i="5"/>
  <c r="E13" i="2"/>
  <c r="D62" i="5"/>
  <c r="F13" i="2"/>
  <c r="G13" i="2"/>
  <c r="H13" i="2"/>
  <c r="I13" i="2"/>
  <c r="J13" i="2"/>
  <c r="K13" i="2"/>
  <c r="L13" i="2"/>
  <c r="M13" i="2"/>
  <c r="N13" i="2"/>
  <c r="O13" i="2"/>
  <c r="P13" i="2"/>
  <c r="Q13" i="2"/>
  <c r="N576" i="5"/>
  <c r="R13" i="2"/>
  <c r="S13" i="2"/>
  <c r="T13" i="2"/>
  <c r="U13" i="2"/>
  <c r="V13" i="2"/>
  <c r="Y13" i="2"/>
  <c r="C63" i="5"/>
  <c r="E14" i="2"/>
  <c r="D63" i="5"/>
  <c r="F14" i="2"/>
  <c r="G14" i="2"/>
  <c r="H14" i="2"/>
  <c r="I14" i="2"/>
  <c r="J14" i="2"/>
  <c r="K14" i="2"/>
  <c r="L14" i="2"/>
  <c r="M14" i="2"/>
  <c r="N14" i="2"/>
  <c r="O14" i="2"/>
  <c r="P14" i="2"/>
  <c r="Q14" i="2"/>
  <c r="N577" i="5"/>
  <c r="R14" i="2"/>
  <c r="S14" i="2"/>
  <c r="T14" i="2"/>
  <c r="U14" i="2"/>
  <c r="V14" i="2"/>
  <c r="Y14" i="2"/>
  <c r="C64" i="5"/>
  <c r="E15" i="2"/>
  <c r="D64" i="5"/>
  <c r="F15" i="2"/>
  <c r="G15" i="2"/>
  <c r="H15" i="2"/>
  <c r="I15" i="2"/>
  <c r="J15" i="2"/>
  <c r="K15" i="2"/>
  <c r="L15" i="2"/>
  <c r="M15" i="2"/>
  <c r="N15" i="2"/>
  <c r="O15" i="2"/>
  <c r="P15" i="2"/>
  <c r="Q15" i="2"/>
  <c r="N578" i="5"/>
  <c r="R15" i="2"/>
  <c r="S15" i="2"/>
  <c r="T15" i="2"/>
  <c r="U15" i="2"/>
  <c r="V15" i="2"/>
  <c r="Y15" i="2"/>
  <c r="C65" i="5"/>
  <c r="E16" i="2"/>
  <c r="D65" i="5"/>
  <c r="F16" i="2"/>
  <c r="G16" i="2"/>
  <c r="H16" i="2"/>
  <c r="I16" i="2"/>
  <c r="J16" i="2"/>
  <c r="K16" i="2"/>
  <c r="L16" i="2"/>
  <c r="M16" i="2"/>
  <c r="N16" i="2"/>
  <c r="O16" i="2"/>
  <c r="P16" i="2"/>
  <c r="Q16" i="2"/>
  <c r="N579" i="5"/>
  <c r="R16" i="2"/>
  <c r="S16" i="2"/>
  <c r="T16" i="2"/>
  <c r="U16" i="2"/>
  <c r="V16" i="2"/>
  <c r="Y16" i="2"/>
  <c r="C66" i="5"/>
  <c r="E17" i="2"/>
  <c r="D66" i="5"/>
  <c r="F17" i="2"/>
  <c r="G17" i="2"/>
  <c r="H17" i="2"/>
  <c r="I17" i="2"/>
  <c r="J17" i="2"/>
  <c r="K17" i="2"/>
  <c r="L17" i="2"/>
  <c r="M17" i="2"/>
  <c r="N17" i="2"/>
  <c r="O17" i="2"/>
  <c r="P17" i="2"/>
  <c r="Q17" i="2"/>
  <c r="N580" i="5"/>
  <c r="R17" i="2"/>
  <c r="S17" i="2"/>
  <c r="T17" i="2"/>
  <c r="U17" i="2"/>
  <c r="V17" i="2"/>
  <c r="Y17" i="2"/>
  <c r="C67" i="5"/>
  <c r="E18" i="2"/>
  <c r="D67" i="5"/>
  <c r="F18" i="2"/>
  <c r="G18" i="2"/>
  <c r="H18" i="2"/>
  <c r="I18" i="2"/>
  <c r="J18" i="2"/>
  <c r="K18" i="2"/>
  <c r="L18" i="2"/>
  <c r="M18" i="2"/>
  <c r="N18" i="2"/>
  <c r="O18" i="2"/>
  <c r="P18" i="2"/>
  <c r="Q18" i="2"/>
  <c r="N581" i="5"/>
  <c r="R18" i="2"/>
  <c r="S18" i="2"/>
  <c r="T18" i="2"/>
  <c r="U18" i="2"/>
  <c r="V18" i="2"/>
  <c r="Y18" i="2"/>
  <c r="C68" i="5"/>
  <c r="E19" i="2"/>
  <c r="D68" i="5"/>
  <c r="F19" i="2"/>
  <c r="G19" i="2"/>
  <c r="H19" i="2"/>
  <c r="I19" i="2"/>
  <c r="J19" i="2"/>
  <c r="K19" i="2"/>
  <c r="L19" i="2"/>
  <c r="M19" i="2"/>
  <c r="N19" i="2"/>
  <c r="O19" i="2"/>
  <c r="P19" i="2"/>
  <c r="Q19" i="2"/>
  <c r="N582" i="5"/>
  <c r="R19" i="2"/>
  <c r="S19" i="2"/>
  <c r="T19" i="2"/>
  <c r="U19" i="2"/>
  <c r="V19" i="2"/>
  <c r="Y19" i="2"/>
  <c r="C69" i="5"/>
  <c r="E20" i="2"/>
  <c r="D69" i="5"/>
  <c r="F20" i="2"/>
  <c r="G20" i="2"/>
  <c r="H20" i="2"/>
  <c r="I20" i="2"/>
  <c r="J20" i="2"/>
  <c r="K20" i="2"/>
  <c r="L20" i="2"/>
  <c r="M20" i="2"/>
  <c r="N20" i="2"/>
  <c r="O20" i="2"/>
  <c r="P20" i="2"/>
  <c r="Q20" i="2"/>
  <c r="N569" i="5"/>
  <c r="R6" i="2"/>
  <c r="R20" i="2"/>
  <c r="S20" i="2"/>
  <c r="T20" i="2"/>
  <c r="U20" i="2"/>
  <c r="V20" i="2"/>
  <c r="Y20" i="2"/>
  <c r="C70" i="5"/>
  <c r="E21" i="2"/>
  <c r="D70" i="5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Y21" i="2"/>
  <c r="C71" i="5"/>
  <c r="E22" i="2"/>
  <c r="D71" i="5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Y22" i="2"/>
  <c r="C72" i="5"/>
  <c r="E23" i="2"/>
  <c r="D72" i="5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Y23" i="2"/>
  <c r="C73" i="5"/>
  <c r="E24" i="2"/>
  <c r="D73" i="5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Y24" i="2"/>
  <c r="C74" i="5"/>
  <c r="E25" i="2"/>
  <c r="D74" i="5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Y25" i="2"/>
  <c r="C75" i="5"/>
  <c r="E26" i="2"/>
  <c r="D75" i="5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Y26" i="2"/>
  <c r="C76" i="5"/>
  <c r="E27" i="2"/>
  <c r="D76" i="5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Y27" i="2"/>
  <c r="C77" i="5"/>
  <c r="E28" i="2"/>
  <c r="D77" i="5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Y28" i="2"/>
  <c r="C78" i="5"/>
  <c r="E29" i="2"/>
  <c r="D78" i="5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Y29" i="2"/>
  <c r="C79" i="5"/>
  <c r="E30" i="2"/>
  <c r="D79" i="5"/>
  <c r="F30" i="2"/>
  <c r="G30" i="2"/>
  <c r="H30" i="2"/>
  <c r="I30" i="2"/>
  <c r="J30" i="2"/>
  <c r="K30" i="2"/>
  <c r="L30" i="2"/>
  <c r="M30" i="2"/>
  <c r="N30" i="2"/>
  <c r="O30" i="2"/>
  <c r="P30" i="2"/>
  <c r="Q30" i="2"/>
  <c r="N593" i="5"/>
  <c r="R30" i="2"/>
  <c r="S30" i="2"/>
  <c r="T30" i="2"/>
  <c r="U30" i="2"/>
  <c r="V30" i="2"/>
  <c r="Y30" i="2"/>
  <c r="C80" i="5"/>
  <c r="E31" i="2"/>
  <c r="D80" i="5"/>
  <c r="F31" i="2"/>
  <c r="G31" i="2"/>
  <c r="H31" i="2"/>
  <c r="I31" i="2"/>
  <c r="J31" i="2"/>
  <c r="K31" i="2"/>
  <c r="L31" i="2"/>
  <c r="M31" i="2"/>
  <c r="N31" i="2"/>
  <c r="O31" i="2"/>
  <c r="P31" i="2"/>
  <c r="Q31" i="2"/>
  <c r="N594" i="5"/>
  <c r="R31" i="2"/>
  <c r="S31" i="2"/>
  <c r="T31" i="2"/>
  <c r="U31" i="2"/>
  <c r="V31" i="2"/>
  <c r="Y31" i="2"/>
  <c r="C81" i="5"/>
  <c r="E32" i="2"/>
  <c r="D81" i="5"/>
  <c r="F32" i="2"/>
  <c r="G32" i="2"/>
  <c r="H32" i="2"/>
  <c r="I32" i="2"/>
  <c r="J32" i="2"/>
  <c r="K32" i="2"/>
  <c r="L32" i="2"/>
  <c r="M32" i="2"/>
  <c r="N32" i="2"/>
  <c r="O32" i="2"/>
  <c r="P32" i="2"/>
  <c r="Q32" i="2"/>
  <c r="N595" i="5"/>
  <c r="R32" i="2"/>
  <c r="S32" i="2"/>
  <c r="T32" i="2"/>
  <c r="U32" i="2"/>
  <c r="V32" i="2"/>
  <c r="Y32" i="2"/>
  <c r="C82" i="5"/>
  <c r="E33" i="2"/>
  <c r="D82" i="5"/>
  <c r="F33" i="2"/>
  <c r="G33" i="2"/>
  <c r="H33" i="2"/>
  <c r="I33" i="2"/>
  <c r="J33" i="2"/>
  <c r="K33" i="2"/>
  <c r="L33" i="2"/>
  <c r="M33" i="2"/>
  <c r="N33" i="2"/>
  <c r="O33" i="2"/>
  <c r="P33" i="2"/>
  <c r="Q33" i="2"/>
  <c r="N596" i="5"/>
  <c r="R33" i="2"/>
  <c r="S33" i="2"/>
  <c r="T33" i="2"/>
  <c r="U33" i="2"/>
  <c r="V33" i="2"/>
  <c r="Y33" i="2"/>
  <c r="C83" i="5"/>
  <c r="E34" i="2"/>
  <c r="D83" i="5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Y34" i="2"/>
  <c r="C84" i="5"/>
  <c r="E35" i="2"/>
  <c r="D84" i="5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Y35" i="2"/>
  <c r="C85" i="5"/>
  <c r="E36" i="2"/>
  <c r="D85" i="5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Y36" i="2"/>
  <c r="C86" i="5"/>
  <c r="E37" i="2"/>
  <c r="D86" i="5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Y37" i="2"/>
  <c r="C87" i="5"/>
  <c r="E38" i="2"/>
  <c r="D87" i="5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Y38" i="2"/>
  <c r="C88" i="5"/>
  <c r="E39" i="2"/>
  <c r="D88" i="5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Y39" i="2"/>
  <c r="C89" i="5"/>
  <c r="E40" i="2"/>
  <c r="D89" i="5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Y40" i="2"/>
  <c r="C90" i="5"/>
  <c r="E41" i="2"/>
  <c r="D90" i="5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Y41" i="2"/>
  <c r="C91" i="5"/>
  <c r="E42" i="2"/>
  <c r="D91" i="5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Y42" i="2"/>
  <c r="C92" i="5"/>
  <c r="E43" i="2"/>
  <c r="D92" i="5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X43" i="2"/>
  <c r="Y43" i="2"/>
  <c r="E4" i="2"/>
  <c r="F4" i="2"/>
  <c r="G4" i="2"/>
  <c r="H4" i="2"/>
  <c r="I4" i="2"/>
  <c r="J4" i="2"/>
  <c r="K4" i="2"/>
  <c r="L4" i="2"/>
  <c r="M4" i="2"/>
  <c r="N4" i="2"/>
  <c r="O4" i="2"/>
  <c r="P4" i="2"/>
  <c r="Q4" i="2"/>
  <c r="N567" i="5"/>
  <c r="R4" i="2"/>
  <c r="S4" i="2"/>
  <c r="T4" i="2"/>
  <c r="U4" i="2"/>
  <c r="V4" i="2"/>
  <c r="Y4" i="2"/>
  <c r="E5" i="2"/>
  <c r="F5" i="2"/>
  <c r="G5" i="2"/>
  <c r="H5" i="2"/>
  <c r="I5" i="2"/>
  <c r="J5" i="2"/>
  <c r="K5" i="2"/>
  <c r="L5" i="2"/>
  <c r="M5" i="2"/>
  <c r="N5" i="2"/>
  <c r="O5" i="2"/>
  <c r="P5" i="2"/>
  <c r="Q5" i="2"/>
  <c r="N568" i="5"/>
  <c r="R5" i="2"/>
  <c r="S5" i="2"/>
  <c r="T5" i="2"/>
  <c r="U5" i="2"/>
  <c r="V5" i="2"/>
  <c r="Y5" i="2"/>
  <c r="E6" i="2"/>
  <c r="F6" i="2"/>
  <c r="G6" i="2"/>
  <c r="H6" i="2"/>
  <c r="I6" i="2"/>
  <c r="J6" i="2"/>
  <c r="K6" i="2"/>
  <c r="L6" i="2"/>
  <c r="M6" i="2"/>
  <c r="N6" i="2"/>
  <c r="O6" i="2"/>
  <c r="P6" i="2"/>
  <c r="Q6" i="2"/>
  <c r="S6" i="2"/>
  <c r="T6" i="2"/>
  <c r="U6" i="2"/>
  <c r="V6" i="2"/>
  <c r="W6" i="2"/>
  <c r="Y6" i="2"/>
  <c r="Y45" i="2"/>
  <c r="B55" i="2"/>
  <c r="I3" i="6"/>
  <c r="N84" i="6"/>
  <c r="N92" i="6"/>
  <c r="O92" i="6"/>
  <c r="I7" i="6"/>
  <c r="H92" i="6"/>
  <c r="I92" i="6"/>
  <c r="J92" i="6"/>
  <c r="K92" i="6"/>
  <c r="L92" i="6"/>
  <c r="M92" i="6"/>
  <c r="P92" i="6"/>
  <c r="Q92" i="6"/>
  <c r="Z4" i="2"/>
  <c r="N93" i="6"/>
  <c r="O93" i="6"/>
  <c r="H93" i="6"/>
  <c r="I93" i="6"/>
  <c r="J93" i="6"/>
  <c r="K93" i="6"/>
  <c r="L93" i="6"/>
  <c r="M93" i="6"/>
  <c r="P93" i="6"/>
  <c r="Q93" i="6"/>
  <c r="Z5" i="2"/>
  <c r="N94" i="6"/>
  <c r="O94" i="6"/>
  <c r="H94" i="6"/>
  <c r="I94" i="6"/>
  <c r="J94" i="6"/>
  <c r="K94" i="6"/>
  <c r="L94" i="6"/>
  <c r="M94" i="6"/>
  <c r="P94" i="6"/>
  <c r="Q94" i="6"/>
  <c r="Z6" i="2"/>
  <c r="N95" i="6"/>
  <c r="O95" i="6"/>
  <c r="H95" i="6"/>
  <c r="I95" i="6"/>
  <c r="J95" i="6"/>
  <c r="K95" i="6"/>
  <c r="L95" i="6"/>
  <c r="M95" i="6"/>
  <c r="P95" i="6"/>
  <c r="Q95" i="6"/>
  <c r="Z7" i="2"/>
  <c r="N96" i="6"/>
  <c r="O96" i="6"/>
  <c r="H96" i="6"/>
  <c r="I96" i="6"/>
  <c r="J96" i="6"/>
  <c r="K96" i="6"/>
  <c r="L96" i="6"/>
  <c r="M96" i="6"/>
  <c r="P96" i="6"/>
  <c r="Q96" i="6"/>
  <c r="Z8" i="2"/>
  <c r="N97" i="6"/>
  <c r="O97" i="6"/>
  <c r="H97" i="6"/>
  <c r="I97" i="6"/>
  <c r="J97" i="6"/>
  <c r="K97" i="6"/>
  <c r="L97" i="6"/>
  <c r="M97" i="6"/>
  <c r="P97" i="6"/>
  <c r="Q97" i="6"/>
  <c r="Z9" i="2"/>
  <c r="N98" i="6"/>
  <c r="O98" i="6"/>
  <c r="H98" i="6"/>
  <c r="I98" i="6"/>
  <c r="J98" i="6"/>
  <c r="K98" i="6"/>
  <c r="L98" i="6"/>
  <c r="M98" i="6"/>
  <c r="P98" i="6"/>
  <c r="Q98" i="6"/>
  <c r="Z10" i="2"/>
  <c r="N99" i="6"/>
  <c r="O99" i="6"/>
  <c r="H99" i="6"/>
  <c r="I99" i="6"/>
  <c r="J99" i="6"/>
  <c r="K99" i="6"/>
  <c r="L99" i="6"/>
  <c r="M99" i="6"/>
  <c r="P99" i="6"/>
  <c r="Q99" i="6"/>
  <c r="Z11" i="2"/>
  <c r="N100" i="6"/>
  <c r="O100" i="6"/>
  <c r="H100" i="6"/>
  <c r="I100" i="6"/>
  <c r="J100" i="6"/>
  <c r="K100" i="6"/>
  <c r="L100" i="6"/>
  <c r="M100" i="6"/>
  <c r="P100" i="6"/>
  <c r="Q100" i="6"/>
  <c r="Z12" i="2"/>
  <c r="N101" i="6"/>
  <c r="O101" i="6"/>
  <c r="H101" i="6"/>
  <c r="I101" i="6"/>
  <c r="J101" i="6"/>
  <c r="K101" i="6"/>
  <c r="L101" i="6"/>
  <c r="M101" i="6"/>
  <c r="P101" i="6"/>
  <c r="Q101" i="6"/>
  <c r="Z13" i="2"/>
  <c r="N102" i="6"/>
  <c r="O102" i="6"/>
  <c r="H102" i="6"/>
  <c r="I102" i="6"/>
  <c r="J102" i="6"/>
  <c r="K102" i="6"/>
  <c r="L102" i="6"/>
  <c r="M102" i="6"/>
  <c r="P102" i="6"/>
  <c r="Q102" i="6"/>
  <c r="Z14" i="2"/>
  <c r="N103" i="6"/>
  <c r="O103" i="6"/>
  <c r="H103" i="6"/>
  <c r="I103" i="6"/>
  <c r="J103" i="6"/>
  <c r="K103" i="6"/>
  <c r="L103" i="6"/>
  <c r="M103" i="6"/>
  <c r="P103" i="6"/>
  <c r="Q103" i="6"/>
  <c r="Z15" i="2"/>
  <c r="N104" i="6"/>
  <c r="O104" i="6"/>
  <c r="H104" i="6"/>
  <c r="I104" i="6"/>
  <c r="J104" i="6"/>
  <c r="K104" i="6"/>
  <c r="L104" i="6"/>
  <c r="M104" i="6"/>
  <c r="P104" i="6"/>
  <c r="Q104" i="6"/>
  <c r="Z16" i="2"/>
  <c r="N105" i="6"/>
  <c r="O105" i="6"/>
  <c r="H105" i="6"/>
  <c r="I105" i="6"/>
  <c r="J105" i="6"/>
  <c r="K105" i="6"/>
  <c r="L105" i="6"/>
  <c r="M105" i="6"/>
  <c r="P105" i="6"/>
  <c r="Q105" i="6"/>
  <c r="Z17" i="2"/>
  <c r="N106" i="6"/>
  <c r="O106" i="6"/>
  <c r="H106" i="6"/>
  <c r="I106" i="6"/>
  <c r="J106" i="6"/>
  <c r="K106" i="6"/>
  <c r="L106" i="6"/>
  <c r="M106" i="6"/>
  <c r="P106" i="6"/>
  <c r="Q106" i="6"/>
  <c r="Z18" i="2"/>
  <c r="N107" i="6"/>
  <c r="O107" i="6"/>
  <c r="H107" i="6"/>
  <c r="I107" i="6"/>
  <c r="J107" i="6"/>
  <c r="K107" i="6"/>
  <c r="L107" i="6"/>
  <c r="M107" i="6"/>
  <c r="P107" i="6"/>
  <c r="Q107" i="6"/>
  <c r="Z19" i="2"/>
  <c r="N108" i="6"/>
  <c r="O108" i="6"/>
  <c r="H108" i="6"/>
  <c r="I108" i="6"/>
  <c r="J108" i="6"/>
  <c r="K108" i="6"/>
  <c r="L108" i="6"/>
  <c r="M108" i="6"/>
  <c r="P108" i="6"/>
  <c r="Q108" i="6"/>
  <c r="Z20" i="2"/>
  <c r="N109" i="6"/>
  <c r="O109" i="6"/>
  <c r="H109" i="6"/>
  <c r="I109" i="6"/>
  <c r="J109" i="6"/>
  <c r="K109" i="6"/>
  <c r="L109" i="6"/>
  <c r="M109" i="6"/>
  <c r="P109" i="6"/>
  <c r="Q109" i="6"/>
  <c r="Z21" i="2"/>
  <c r="N110" i="6"/>
  <c r="O110" i="6"/>
  <c r="H110" i="6"/>
  <c r="I110" i="6"/>
  <c r="J110" i="6"/>
  <c r="K110" i="6"/>
  <c r="L110" i="6"/>
  <c r="M110" i="6"/>
  <c r="P110" i="6"/>
  <c r="Q110" i="6"/>
  <c r="Z22" i="2"/>
  <c r="N111" i="6"/>
  <c r="O111" i="6"/>
  <c r="H111" i="6"/>
  <c r="I111" i="6"/>
  <c r="J111" i="6"/>
  <c r="K111" i="6"/>
  <c r="L111" i="6"/>
  <c r="M111" i="6"/>
  <c r="P111" i="6"/>
  <c r="Q111" i="6"/>
  <c r="Z23" i="2"/>
  <c r="N112" i="6"/>
  <c r="O112" i="6"/>
  <c r="H112" i="6"/>
  <c r="I112" i="6"/>
  <c r="J112" i="6"/>
  <c r="K112" i="6"/>
  <c r="L112" i="6"/>
  <c r="M112" i="6"/>
  <c r="P112" i="6"/>
  <c r="Q112" i="6"/>
  <c r="Z24" i="2"/>
  <c r="N113" i="6"/>
  <c r="O113" i="6"/>
  <c r="H113" i="6"/>
  <c r="I113" i="6"/>
  <c r="J113" i="6"/>
  <c r="K113" i="6"/>
  <c r="L113" i="6"/>
  <c r="M113" i="6"/>
  <c r="P113" i="6"/>
  <c r="Q113" i="6"/>
  <c r="Z25" i="2"/>
  <c r="N114" i="6"/>
  <c r="O114" i="6"/>
  <c r="H114" i="6"/>
  <c r="I114" i="6"/>
  <c r="J114" i="6"/>
  <c r="K114" i="6"/>
  <c r="L114" i="6"/>
  <c r="M114" i="6"/>
  <c r="P114" i="6"/>
  <c r="Q114" i="6"/>
  <c r="Z26" i="2"/>
  <c r="N115" i="6"/>
  <c r="O115" i="6"/>
  <c r="H115" i="6"/>
  <c r="I115" i="6"/>
  <c r="J115" i="6"/>
  <c r="K115" i="6"/>
  <c r="L115" i="6"/>
  <c r="M115" i="6"/>
  <c r="P115" i="6"/>
  <c r="Q115" i="6"/>
  <c r="Z27" i="2"/>
  <c r="N116" i="6"/>
  <c r="O116" i="6"/>
  <c r="H116" i="6"/>
  <c r="I116" i="6"/>
  <c r="J116" i="6"/>
  <c r="K116" i="6"/>
  <c r="L116" i="6"/>
  <c r="M116" i="6"/>
  <c r="P116" i="6"/>
  <c r="Q116" i="6"/>
  <c r="Z28" i="2"/>
  <c r="N117" i="6"/>
  <c r="O117" i="6"/>
  <c r="H117" i="6"/>
  <c r="I117" i="6"/>
  <c r="J117" i="6"/>
  <c r="K117" i="6"/>
  <c r="L117" i="6"/>
  <c r="M117" i="6"/>
  <c r="P117" i="6"/>
  <c r="Q117" i="6"/>
  <c r="Z29" i="2"/>
  <c r="N118" i="6"/>
  <c r="O118" i="6"/>
  <c r="H118" i="6"/>
  <c r="I118" i="6"/>
  <c r="J118" i="6"/>
  <c r="K118" i="6"/>
  <c r="L118" i="6"/>
  <c r="M118" i="6"/>
  <c r="P118" i="6"/>
  <c r="Q118" i="6"/>
  <c r="Z30" i="2"/>
  <c r="N119" i="6"/>
  <c r="O119" i="6"/>
  <c r="H119" i="6"/>
  <c r="I119" i="6"/>
  <c r="J119" i="6"/>
  <c r="K119" i="6"/>
  <c r="L119" i="6"/>
  <c r="M119" i="6"/>
  <c r="P119" i="6"/>
  <c r="Q119" i="6"/>
  <c r="Z31" i="2"/>
  <c r="N120" i="6"/>
  <c r="O120" i="6"/>
  <c r="H120" i="6"/>
  <c r="I120" i="6"/>
  <c r="J120" i="6"/>
  <c r="K120" i="6"/>
  <c r="L120" i="6"/>
  <c r="M120" i="6"/>
  <c r="P120" i="6"/>
  <c r="Q120" i="6"/>
  <c r="Z32" i="2"/>
  <c r="N121" i="6"/>
  <c r="O121" i="6"/>
  <c r="H121" i="6"/>
  <c r="I121" i="6"/>
  <c r="J121" i="6"/>
  <c r="K121" i="6"/>
  <c r="L121" i="6"/>
  <c r="M121" i="6"/>
  <c r="P121" i="6"/>
  <c r="Q121" i="6"/>
  <c r="Z33" i="2"/>
  <c r="N122" i="6"/>
  <c r="O122" i="6"/>
  <c r="H122" i="6"/>
  <c r="I122" i="6"/>
  <c r="J122" i="6"/>
  <c r="K122" i="6"/>
  <c r="L122" i="6"/>
  <c r="M122" i="6"/>
  <c r="P122" i="6"/>
  <c r="Q122" i="6"/>
  <c r="Z34" i="2"/>
  <c r="N123" i="6"/>
  <c r="O123" i="6"/>
  <c r="H123" i="6"/>
  <c r="I123" i="6"/>
  <c r="J123" i="6"/>
  <c r="K123" i="6"/>
  <c r="L123" i="6"/>
  <c r="M123" i="6"/>
  <c r="P123" i="6"/>
  <c r="Q123" i="6"/>
  <c r="Z35" i="2"/>
  <c r="N124" i="6"/>
  <c r="O124" i="6"/>
  <c r="H124" i="6"/>
  <c r="I124" i="6"/>
  <c r="J124" i="6"/>
  <c r="K124" i="6"/>
  <c r="L124" i="6"/>
  <c r="M124" i="6"/>
  <c r="P124" i="6"/>
  <c r="Q124" i="6"/>
  <c r="Z36" i="2"/>
  <c r="N125" i="6"/>
  <c r="O125" i="6"/>
  <c r="H125" i="6"/>
  <c r="I125" i="6"/>
  <c r="J125" i="6"/>
  <c r="K125" i="6"/>
  <c r="L125" i="6"/>
  <c r="M125" i="6"/>
  <c r="P125" i="6"/>
  <c r="Q125" i="6"/>
  <c r="Z37" i="2"/>
  <c r="N126" i="6"/>
  <c r="O126" i="6"/>
  <c r="H126" i="6"/>
  <c r="I126" i="6"/>
  <c r="J126" i="6"/>
  <c r="K126" i="6"/>
  <c r="L126" i="6"/>
  <c r="M126" i="6"/>
  <c r="P126" i="6"/>
  <c r="Q126" i="6"/>
  <c r="Z38" i="2"/>
  <c r="N127" i="6"/>
  <c r="O127" i="6"/>
  <c r="H127" i="6"/>
  <c r="I127" i="6"/>
  <c r="J127" i="6"/>
  <c r="K127" i="6"/>
  <c r="L127" i="6"/>
  <c r="M127" i="6"/>
  <c r="P127" i="6"/>
  <c r="Q127" i="6"/>
  <c r="Z39" i="2"/>
  <c r="N128" i="6"/>
  <c r="O128" i="6"/>
  <c r="H128" i="6"/>
  <c r="I128" i="6"/>
  <c r="J128" i="6"/>
  <c r="K128" i="6"/>
  <c r="L128" i="6"/>
  <c r="M128" i="6"/>
  <c r="P128" i="6"/>
  <c r="Q128" i="6"/>
  <c r="Z40" i="2"/>
  <c r="N129" i="6"/>
  <c r="O129" i="6"/>
  <c r="H129" i="6"/>
  <c r="I129" i="6"/>
  <c r="J129" i="6"/>
  <c r="K129" i="6"/>
  <c r="L129" i="6"/>
  <c r="M129" i="6"/>
  <c r="P129" i="6"/>
  <c r="Q129" i="6"/>
  <c r="Z41" i="2"/>
  <c r="N130" i="6"/>
  <c r="O130" i="6"/>
  <c r="H130" i="6"/>
  <c r="I130" i="6"/>
  <c r="J130" i="6"/>
  <c r="K130" i="6"/>
  <c r="L130" i="6"/>
  <c r="M130" i="6"/>
  <c r="P130" i="6"/>
  <c r="Q130" i="6"/>
  <c r="Z42" i="2"/>
  <c r="N131" i="6"/>
  <c r="O131" i="6"/>
  <c r="H131" i="6"/>
  <c r="I131" i="6"/>
  <c r="J131" i="6"/>
  <c r="K131" i="6"/>
  <c r="L131" i="6"/>
  <c r="M131" i="6"/>
  <c r="P131" i="6"/>
  <c r="Q131" i="6"/>
  <c r="Z43" i="2"/>
  <c r="Z45" i="2"/>
  <c r="H38" i="6"/>
  <c r="J38" i="6"/>
  <c r="L38" i="6"/>
  <c r="P38" i="6"/>
  <c r="AA4" i="2"/>
  <c r="H39" i="6"/>
  <c r="J39" i="6"/>
  <c r="L39" i="6"/>
  <c r="P39" i="6"/>
  <c r="AA5" i="2"/>
  <c r="H40" i="6"/>
  <c r="J40" i="6"/>
  <c r="L40" i="6"/>
  <c r="P40" i="6"/>
  <c r="AA6" i="2"/>
  <c r="H41" i="6"/>
  <c r="J41" i="6"/>
  <c r="L41" i="6"/>
  <c r="P41" i="6"/>
  <c r="AA7" i="2"/>
  <c r="H42" i="6"/>
  <c r="J42" i="6"/>
  <c r="L42" i="6"/>
  <c r="P42" i="6"/>
  <c r="AA8" i="2"/>
  <c r="H43" i="6"/>
  <c r="J43" i="6"/>
  <c r="L43" i="6"/>
  <c r="P43" i="6"/>
  <c r="AA9" i="2"/>
  <c r="H44" i="6"/>
  <c r="J44" i="6"/>
  <c r="L44" i="6"/>
  <c r="P44" i="6"/>
  <c r="AA10" i="2"/>
  <c r="H45" i="6"/>
  <c r="J45" i="6"/>
  <c r="L45" i="6"/>
  <c r="P45" i="6"/>
  <c r="AA11" i="2"/>
  <c r="H46" i="6"/>
  <c r="J46" i="6"/>
  <c r="L46" i="6"/>
  <c r="P46" i="6"/>
  <c r="AA12" i="2"/>
  <c r="H47" i="6"/>
  <c r="J47" i="6"/>
  <c r="L47" i="6"/>
  <c r="P47" i="6"/>
  <c r="AA13" i="2"/>
  <c r="H48" i="6"/>
  <c r="J48" i="6"/>
  <c r="L48" i="6"/>
  <c r="P48" i="6"/>
  <c r="AA14" i="2"/>
  <c r="H49" i="6"/>
  <c r="J49" i="6"/>
  <c r="L49" i="6"/>
  <c r="P49" i="6"/>
  <c r="AA15" i="2"/>
  <c r="H50" i="6"/>
  <c r="J50" i="6"/>
  <c r="L50" i="6"/>
  <c r="P50" i="6"/>
  <c r="AA16" i="2"/>
  <c r="H51" i="6"/>
  <c r="J51" i="6"/>
  <c r="L51" i="6"/>
  <c r="P51" i="6"/>
  <c r="AA17" i="2"/>
  <c r="H52" i="6"/>
  <c r="J52" i="6"/>
  <c r="L52" i="6"/>
  <c r="P52" i="6"/>
  <c r="AA18" i="2"/>
  <c r="H53" i="6"/>
  <c r="J53" i="6"/>
  <c r="L53" i="6"/>
  <c r="P53" i="6"/>
  <c r="AA19" i="2"/>
  <c r="H54" i="6"/>
  <c r="J54" i="6"/>
  <c r="L54" i="6"/>
  <c r="P54" i="6"/>
  <c r="AA20" i="2"/>
  <c r="H55" i="6"/>
  <c r="J55" i="6"/>
  <c r="L55" i="6"/>
  <c r="P55" i="6"/>
  <c r="AA21" i="2"/>
  <c r="H56" i="6"/>
  <c r="J56" i="6"/>
  <c r="L56" i="6"/>
  <c r="P56" i="6"/>
  <c r="AA22" i="2"/>
  <c r="H57" i="6"/>
  <c r="J57" i="6"/>
  <c r="L57" i="6"/>
  <c r="P57" i="6"/>
  <c r="AA23" i="2"/>
  <c r="H58" i="6"/>
  <c r="J58" i="6"/>
  <c r="L58" i="6"/>
  <c r="P58" i="6"/>
  <c r="AA24" i="2"/>
  <c r="H59" i="6"/>
  <c r="J59" i="6"/>
  <c r="L59" i="6"/>
  <c r="P59" i="6"/>
  <c r="AA25" i="2"/>
  <c r="H60" i="6"/>
  <c r="J60" i="6"/>
  <c r="L60" i="6"/>
  <c r="P60" i="6"/>
  <c r="AA26" i="2"/>
  <c r="H61" i="6"/>
  <c r="J61" i="6"/>
  <c r="L61" i="6"/>
  <c r="P61" i="6"/>
  <c r="AA27" i="2"/>
  <c r="H62" i="6"/>
  <c r="J62" i="6"/>
  <c r="L62" i="6"/>
  <c r="P62" i="6"/>
  <c r="AA28" i="2"/>
  <c r="H63" i="6"/>
  <c r="J63" i="6"/>
  <c r="L63" i="6"/>
  <c r="P63" i="6"/>
  <c r="AA29" i="2"/>
  <c r="H64" i="6"/>
  <c r="J64" i="6"/>
  <c r="L64" i="6"/>
  <c r="P64" i="6"/>
  <c r="AA30" i="2"/>
  <c r="H65" i="6"/>
  <c r="J65" i="6"/>
  <c r="L65" i="6"/>
  <c r="P65" i="6"/>
  <c r="AA31" i="2"/>
  <c r="H66" i="6"/>
  <c r="J66" i="6"/>
  <c r="L66" i="6"/>
  <c r="P66" i="6"/>
  <c r="AA32" i="2"/>
  <c r="H67" i="6"/>
  <c r="J67" i="6"/>
  <c r="L67" i="6"/>
  <c r="P67" i="6"/>
  <c r="AA33" i="2"/>
  <c r="H68" i="6"/>
  <c r="J68" i="6"/>
  <c r="L68" i="6"/>
  <c r="P68" i="6"/>
  <c r="AA34" i="2"/>
  <c r="H69" i="6"/>
  <c r="J69" i="6"/>
  <c r="L69" i="6"/>
  <c r="P69" i="6"/>
  <c r="AA35" i="2"/>
  <c r="H70" i="6"/>
  <c r="J70" i="6"/>
  <c r="L70" i="6"/>
  <c r="P70" i="6"/>
  <c r="AA36" i="2"/>
  <c r="H71" i="6"/>
  <c r="J71" i="6"/>
  <c r="L71" i="6"/>
  <c r="P71" i="6"/>
  <c r="AA37" i="2"/>
  <c r="H72" i="6"/>
  <c r="J72" i="6"/>
  <c r="L72" i="6"/>
  <c r="P72" i="6"/>
  <c r="AA38" i="2"/>
  <c r="H73" i="6"/>
  <c r="J73" i="6"/>
  <c r="L73" i="6"/>
  <c r="P73" i="6"/>
  <c r="AA39" i="2"/>
  <c r="H74" i="6"/>
  <c r="J74" i="6"/>
  <c r="L74" i="6"/>
  <c r="P74" i="6"/>
  <c r="AA40" i="2"/>
  <c r="H75" i="6"/>
  <c r="J75" i="6"/>
  <c r="L75" i="6"/>
  <c r="P75" i="6"/>
  <c r="AA41" i="2"/>
  <c r="H76" i="6"/>
  <c r="J76" i="6"/>
  <c r="L76" i="6"/>
  <c r="P76" i="6"/>
  <c r="AA42" i="2"/>
  <c r="H77" i="6"/>
  <c r="J77" i="6"/>
  <c r="L77" i="6"/>
  <c r="P77" i="6"/>
  <c r="AA43" i="2"/>
  <c r="AA45" i="2"/>
  <c r="AB45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5" i="2"/>
  <c r="AE45" i="2"/>
  <c r="C55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5" i="2"/>
  <c r="D55" i="2"/>
  <c r="E55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B54" i="2"/>
  <c r="Z44" i="2"/>
  <c r="AA44" i="2"/>
  <c r="AB44" i="2"/>
  <c r="C54" i="2"/>
  <c r="AF44" i="2"/>
  <c r="D54" i="2"/>
  <c r="E5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G739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N583" i="5"/>
  <c r="O583" i="5"/>
  <c r="N584" i="5"/>
  <c r="O584" i="5"/>
  <c r="N585" i="5"/>
  <c r="O585" i="5"/>
  <c r="N586" i="5"/>
  <c r="O586" i="5"/>
  <c r="N587" i="5"/>
  <c r="O587" i="5"/>
  <c r="N588" i="5"/>
  <c r="O588" i="5"/>
  <c r="N589" i="5"/>
  <c r="O589" i="5"/>
  <c r="N590" i="5"/>
  <c r="O590" i="5"/>
  <c r="N591" i="5"/>
  <c r="O591" i="5"/>
  <c r="N592" i="5"/>
  <c r="O592" i="5"/>
  <c r="O593" i="5"/>
  <c r="O594" i="5"/>
  <c r="O595" i="5"/>
  <c r="O596" i="5"/>
  <c r="N597" i="5"/>
  <c r="O597" i="5"/>
  <c r="N598" i="5"/>
  <c r="O598" i="5"/>
  <c r="N599" i="5"/>
  <c r="O599" i="5"/>
  <c r="N600" i="5"/>
  <c r="O600" i="5"/>
  <c r="N601" i="5"/>
  <c r="O601" i="5"/>
  <c r="N602" i="5"/>
  <c r="O602" i="5"/>
  <c r="N603" i="5"/>
  <c r="O603" i="5"/>
  <c r="N604" i="5"/>
  <c r="O604" i="5"/>
  <c r="N605" i="5"/>
  <c r="O605" i="5"/>
  <c r="N606" i="5"/>
  <c r="O606" i="5"/>
  <c r="O607" i="5"/>
  <c r="N607" i="5"/>
  <c r="M607" i="5"/>
  <c r="L607" i="5"/>
  <c r="K607" i="5"/>
  <c r="J607" i="5"/>
  <c r="I607" i="5"/>
  <c r="H607" i="5"/>
  <c r="G607" i="5"/>
  <c r="F607" i="5"/>
  <c r="B5" i="7"/>
  <c r="B6" i="7"/>
  <c r="B9" i="7"/>
  <c r="I16" i="7"/>
  <c r="H16" i="7"/>
  <c r="I14" i="7"/>
  <c r="I13" i="7"/>
  <c r="I12" i="7"/>
  <c r="C615" i="5"/>
  <c r="C131" i="6"/>
  <c r="D659" i="5"/>
  <c r="B615" i="5"/>
  <c r="E48" i="5"/>
  <c r="B617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I659" i="5"/>
  <c r="C130" i="6"/>
  <c r="D658" i="5"/>
  <c r="I658" i="5"/>
  <c r="C129" i="6"/>
  <c r="D657" i="5"/>
  <c r="I657" i="5"/>
  <c r="C128" i="6"/>
  <c r="D656" i="5"/>
  <c r="I656" i="5"/>
  <c r="C127" i="6"/>
  <c r="D655" i="5"/>
  <c r="I655" i="5"/>
  <c r="C126" i="6"/>
  <c r="D654" i="5"/>
  <c r="I654" i="5"/>
  <c r="C125" i="6"/>
  <c r="D653" i="5"/>
  <c r="I653" i="5"/>
  <c r="C124" i="6"/>
  <c r="D652" i="5"/>
  <c r="I652" i="5"/>
  <c r="C123" i="6"/>
  <c r="D651" i="5"/>
  <c r="I651" i="5"/>
  <c r="C122" i="6"/>
  <c r="D650" i="5"/>
  <c r="I650" i="5"/>
  <c r="C121" i="6"/>
  <c r="D649" i="5"/>
  <c r="I649" i="5"/>
  <c r="C120" i="6"/>
  <c r="D648" i="5"/>
  <c r="I648" i="5"/>
  <c r="C119" i="6"/>
  <c r="D647" i="5"/>
  <c r="I647" i="5"/>
  <c r="C118" i="6"/>
  <c r="D646" i="5"/>
  <c r="I646" i="5"/>
  <c r="C117" i="6"/>
  <c r="D645" i="5"/>
  <c r="I645" i="5"/>
  <c r="C116" i="6"/>
  <c r="D644" i="5"/>
  <c r="I644" i="5"/>
  <c r="C115" i="6"/>
  <c r="D643" i="5"/>
  <c r="I643" i="5"/>
  <c r="C114" i="6"/>
  <c r="D642" i="5"/>
  <c r="I642" i="5"/>
  <c r="C113" i="6"/>
  <c r="D641" i="5"/>
  <c r="I641" i="5"/>
  <c r="C112" i="6"/>
  <c r="D640" i="5"/>
  <c r="I640" i="5"/>
  <c r="C111" i="6"/>
  <c r="D639" i="5"/>
  <c r="I639" i="5"/>
  <c r="C110" i="6"/>
  <c r="D638" i="5"/>
  <c r="I638" i="5"/>
  <c r="C109" i="6"/>
  <c r="D637" i="5"/>
  <c r="I637" i="5"/>
  <c r="C108" i="6"/>
  <c r="D636" i="5"/>
  <c r="I636" i="5"/>
  <c r="C107" i="6"/>
  <c r="D635" i="5"/>
  <c r="I635" i="5"/>
  <c r="C106" i="6"/>
  <c r="D634" i="5"/>
  <c r="I634" i="5"/>
  <c r="C105" i="6"/>
  <c r="D633" i="5"/>
  <c r="I633" i="5"/>
  <c r="C104" i="6"/>
  <c r="D632" i="5"/>
  <c r="I632" i="5"/>
  <c r="C103" i="6"/>
  <c r="D631" i="5"/>
  <c r="I631" i="5"/>
  <c r="C102" i="6"/>
  <c r="D630" i="5"/>
  <c r="I630" i="5"/>
  <c r="C101" i="6"/>
  <c r="D629" i="5"/>
  <c r="I629" i="5"/>
  <c r="C100" i="6"/>
  <c r="D628" i="5"/>
  <c r="I628" i="5"/>
  <c r="C99" i="6"/>
  <c r="D627" i="5"/>
  <c r="I627" i="5"/>
  <c r="C98" i="6"/>
  <c r="D626" i="5"/>
  <c r="I626" i="5"/>
  <c r="C97" i="6"/>
  <c r="D625" i="5"/>
  <c r="I625" i="5"/>
  <c r="C96" i="6"/>
  <c r="D624" i="5"/>
  <c r="I624" i="5"/>
  <c r="C95" i="6"/>
  <c r="D623" i="5"/>
  <c r="I623" i="5"/>
  <c r="C94" i="6"/>
  <c r="D622" i="5"/>
  <c r="I622" i="5"/>
  <c r="C93" i="6"/>
  <c r="D621" i="5"/>
  <c r="I621" i="5"/>
  <c r="D620" i="5"/>
  <c r="I620" i="5"/>
  <c r="D615" i="5"/>
  <c r="D568" i="5"/>
  <c r="C569" i="5"/>
  <c r="D569" i="5"/>
  <c r="C570" i="5"/>
  <c r="D570" i="5"/>
  <c r="C571" i="5"/>
  <c r="D571" i="5"/>
  <c r="C572" i="5"/>
  <c r="D572" i="5"/>
  <c r="C573" i="5"/>
  <c r="D573" i="5"/>
  <c r="C574" i="5"/>
  <c r="D574" i="5"/>
  <c r="C575" i="5"/>
  <c r="D575" i="5"/>
  <c r="C576" i="5"/>
  <c r="D576" i="5"/>
  <c r="C577" i="5"/>
  <c r="D577" i="5"/>
  <c r="C578" i="5"/>
  <c r="D578" i="5"/>
  <c r="C579" i="5"/>
  <c r="D579" i="5"/>
  <c r="C580" i="5"/>
  <c r="D580" i="5"/>
  <c r="C581" i="5"/>
  <c r="D581" i="5"/>
  <c r="C582" i="5"/>
  <c r="D582" i="5"/>
  <c r="C583" i="5"/>
  <c r="D583" i="5"/>
  <c r="C584" i="5"/>
  <c r="D584" i="5"/>
  <c r="C585" i="5"/>
  <c r="D585" i="5"/>
  <c r="C586" i="5"/>
  <c r="D586" i="5"/>
  <c r="C587" i="5"/>
  <c r="D587" i="5"/>
  <c r="C588" i="5"/>
  <c r="D588" i="5"/>
  <c r="C589" i="5"/>
  <c r="D589" i="5"/>
  <c r="C590" i="5"/>
  <c r="D590" i="5"/>
  <c r="C591" i="5"/>
  <c r="D591" i="5"/>
  <c r="C592" i="5"/>
  <c r="D592" i="5"/>
  <c r="C593" i="5"/>
  <c r="D593" i="5"/>
  <c r="C594" i="5"/>
  <c r="D594" i="5"/>
  <c r="C595" i="5"/>
  <c r="D595" i="5"/>
  <c r="C596" i="5"/>
  <c r="D596" i="5"/>
  <c r="C597" i="5"/>
  <c r="D597" i="5"/>
  <c r="C598" i="5"/>
  <c r="D598" i="5"/>
  <c r="C599" i="5"/>
  <c r="D599" i="5"/>
  <c r="C600" i="5"/>
  <c r="D600" i="5"/>
  <c r="C601" i="5"/>
  <c r="D601" i="5"/>
  <c r="C602" i="5"/>
  <c r="D602" i="5"/>
  <c r="C603" i="5"/>
  <c r="D603" i="5"/>
  <c r="C604" i="5"/>
  <c r="D604" i="5"/>
  <c r="C605" i="5"/>
  <c r="D605" i="5"/>
  <c r="D606" i="5"/>
  <c r="E659" i="5"/>
  <c r="J659" i="5"/>
  <c r="E658" i="5"/>
  <c r="J658" i="5"/>
  <c r="E657" i="5"/>
  <c r="J657" i="5"/>
  <c r="E656" i="5"/>
  <c r="J656" i="5"/>
  <c r="E655" i="5"/>
  <c r="J655" i="5"/>
  <c r="E654" i="5"/>
  <c r="J654" i="5"/>
  <c r="E653" i="5"/>
  <c r="J653" i="5"/>
  <c r="E652" i="5"/>
  <c r="J652" i="5"/>
  <c r="E651" i="5"/>
  <c r="J651" i="5"/>
  <c r="E650" i="5"/>
  <c r="J650" i="5"/>
  <c r="E649" i="5"/>
  <c r="J649" i="5"/>
  <c r="E648" i="5"/>
  <c r="J648" i="5"/>
  <c r="E647" i="5"/>
  <c r="J647" i="5"/>
  <c r="E646" i="5"/>
  <c r="J646" i="5"/>
  <c r="E645" i="5"/>
  <c r="J645" i="5"/>
  <c r="E644" i="5"/>
  <c r="J644" i="5"/>
  <c r="E643" i="5"/>
  <c r="J643" i="5"/>
  <c r="E642" i="5"/>
  <c r="J642" i="5"/>
  <c r="E641" i="5"/>
  <c r="J641" i="5"/>
  <c r="E640" i="5"/>
  <c r="J640" i="5"/>
  <c r="E639" i="5"/>
  <c r="J639" i="5"/>
  <c r="E638" i="5"/>
  <c r="J638" i="5"/>
  <c r="E637" i="5"/>
  <c r="J637" i="5"/>
  <c r="E636" i="5"/>
  <c r="J636" i="5"/>
  <c r="E635" i="5"/>
  <c r="J635" i="5"/>
  <c r="E634" i="5"/>
  <c r="J634" i="5"/>
  <c r="E633" i="5"/>
  <c r="J633" i="5"/>
  <c r="E632" i="5"/>
  <c r="J632" i="5"/>
  <c r="E631" i="5"/>
  <c r="J631" i="5"/>
  <c r="E630" i="5"/>
  <c r="J630" i="5"/>
  <c r="E629" i="5"/>
  <c r="J629" i="5"/>
  <c r="E628" i="5"/>
  <c r="J628" i="5"/>
  <c r="E627" i="5"/>
  <c r="J627" i="5"/>
  <c r="E626" i="5"/>
  <c r="J626" i="5"/>
  <c r="E625" i="5"/>
  <c r="J625" i="5"/>
  <c r="E624" i="5"/>
  <c r="J624" i="5"/>
  <c r="E623" i="5"/>
  <c r="J623" i="5"/>
  <c r="E622" i="5"/>
  <c r="J622" i="5"/>
  <c r="E621" i="5"/>
  <c r="J621" i="5"/>
  <c r="E620" i="5"/>
  <c r="J62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5" i="5"/>
  <c r="D522" i="5"/>
  <c r="D523" i="5"/>
  <c r="I523" i="5"/>
  <c r="K523" i="5"/>
  <c r="F523" i="5"/>
  <c r="H523" i="5"/>
  <c r="L523" i="5"/>
  <c r="I569" i="5"/>
  <c r="K569" i="5"/>
  <c r="F569" i="5"/>
  <c r="H569" i="5"/>
  <c r="L569" i="5"/>
  <c r="F622" i="5"/>
  <c r="G622" i="5"/>
  <c r="H622" i="5"/>
  <c r="B8" i="3"/>
  <c r="C806" i="5"/>
  <c r="D806" i="5"/>
  <c r="C807" i="5"/>
  <c r="D807" i="5"/>
  <c r="C808" i="5"/>
  <c r="D808" i="5"/>
  <c r="E808" i="5"/>
  <c r="B693" i="5"/>
  <c r="B694" i="5"/>
  <c r="B695" i="5"/>
  <c r="A699" i="5"/>
  <c r="G700" i="5"/>
  <c r="D8" i="4"/>
  <c r="D9" i="4"/>
  <c r="D13" i="4"/>
  <c r="C757" i="5"/>
  <c r="B748" i="5"/>
  <c r="A756" i="5"/>
  <c r="D757" i="5"/>
  <c r="D94" i="6"/>
  <c r="E94" i="6"/>
  <c r="F94" i="6"/>
  <c r="AB6" i="2"/>
  <c r="D146" i="6"/>
  <c r="E146" i="6"/>
  <c r="G146" i="6"/>
  <c r="H146" i="6"/>
  <c r="B139" i="6"/>
  <c r="I146" i="6"/>
  <c r="J146" i="6"/>
  <c r="B140" i="6"/>
  <c r="K146" i="6"/>
  <c r="F188" i="6"/>
  <c r="C141" i="6"/>
  <c r="L146" i="6"/>
  <c r="B141" i="6"/>
  <c r="M146" i="6"/>
  <c r="D188" i="6"/>
  <c r="C138" i="6"/>
  <c r="N146" i="6"/>
  <c r="B138" i="6"/>
  <c r="O146" i="6"/>
  <c r="P146" i="6"/>
  <c r="AE6" i="2"/>
  <c r="C22" i="7"/>
  <c r="D5" i="7"/>
  <c r="D6" i="7"/>
  <c r="D7" i="7"/>
  <c r="D8" i="7"/>
  <c r="D9" i="7"/>
  <c r="B10" i="7"/>
  <c r="D10" i="7"/>
  <c r="B11" i="7"/>
  <c r="D11" i="7"/>
  <c r="D12" i="7"/>
  <c r="E12" i="7"/>
  <c r="D20" i="7"/>
  <c r="F15" i="7"/>
  <c r="D21" i="7"/>
  <c r="D22" i="7"/>
  <c r="E22" i="7"/>
  <c r="D6" i="2"/>
  <c r="B9" i="5"/>
  <c r="C9" i="5"/>
  <c r="B39" i="5"/>
  <c r="C39" i="5"/>
  <c r="C99" i="5"/>
  <c r="B109" i="5"/>
  <c r="C119" i="5"/>
  <c r="C100" i="5"/>
  <c r="B110" i="5"/>
  <c r="D119" i="5"/>
  <c r="B160" i="5"/>
  <c r="B162" i="5"/>
  <c r="B163" i="5"/>
  <c r="B166" i="5"/>
  <c r="B167" i="5"/>
  <c r="C174" i="5"/>
  <c r="B220" i="5"/>
  <c r="B221" i="5"/>
  <c r="B228" i="5"/>
  <c r="C236" i="5"/>
  <c r="B229" i="5"/>
  <c r="D236" i="5"/>
  <c r="F412" i="5"/>
  <c r="D428" i="5"/>
  <c r="H410" i="5"/>
  <c r="D419" i="5"/>
  <c r="F419" i="5"/>
  <c r="F420" i="5"/>
  <c r="F421" i="5"/>
  <c r="F428" i="5"/>
  <c r="G429" i="5"/>
  <c r="G430" i="5"/>
  <c r="G431" i="5"/>
  <c r="C442" i="5"/>
  <c r="D524" i="5"/>
  <c r="I524" i="5"/>
  <c r="K524" i="5"/>
  <c r="F524" i="5"/>
  <c r="H524" i="5"/>
  <c r="L524" i="5"/>
  <c r="I570" i="5"/>
  <c r="K570" i="5"/>
  <c r="F570" i="5"/>
  <c r="H570" i="5"/>
  <c r="L570" i="5"/>
  <c r="F623" i="5"/>
  <c r="G623" i="5"/>
  <c r="H623" i="5"/>
  <c r="C809" i="5"/>
  <c r="D809" i="5"/>
  <c r="E809" i="5"/>
  <c r="A700" i="5"/>
  <c r="G701" i="5"/>
  <c r="E8" i="4"/>
  <c r="E9" i="4"/>
  <c r="E13" i="4"/>
  <c r="C758" i="5"/>
  <c r="A757" i="5"/>
  <c r="D758" i="5"/>
  <c r="D95" i="6"/>
  <c r="E95" i="6"/>
  <c r="F95" i="6"/>
  <c r="AB7" i="2"/>
  <c r="D147" i="6"/>
  <c r="E147" i="6"/>
  <c r="G147" i="6"/>
  <c r="H147" i="6"/>
  <c r="I147" i="6"/>
  <c r="J147" i="6"/>
  <c r="K147" i="6"/>
  <c r="L147" i="6"/>
  <c r="M147" i="6"/>
  <c r="N147" i="6"/>
  <c r="O147" i="6"/>
  <c r="P147" i="6"/>
  <c r="AE7" i="2"/>
  <c r="C23" i="7"/>
  <c r="D23" i="7"/>
  <c r="E23" i="7"/>
  <c r="D7" i="2"/>
  <c r="C120" i="5"/>
  <c r="D120" i="5"/>
  <c r="C175" i="5"/>
  <c r="C237" i="5"/>
  <c r="D237" i="5"/>
  <c r="C443" i="5"/>
  <c r="D525" i="5"/>
  <c r="I525" i="5"/>
  <c r="K525" i="5"/>
  <c r="F525" i="5"/>
  <c r="H525" i="5"/>
  <c r="L525" i="5"/>
  <c r="I571" i="5"/>
  <c r="K571" i="5"/>
  <c r="F571" i="5"/>
  <c r="H571" i="5"/>
  <c r="L571" i="5"/>
  <c r="F624" i="5"/>
  <c r="G624" i="5"/>
  <c r="H624" i="5"/>
  <c r="C810" i="5"/>
  <c r="D810" i="5"/>
  <c r="E810" i="5"/>
  <c r="F8" i="4"/>
  <c r="F9" i="4"/>
  <c r="F13" i="4"/>
  <c r="F14" i="4"/>
  <c r="F17" i="4"/>
  <c r="C148" i="6"/>
  <c r="C702" i="5"/>
  <c r="D702" i="5"/>
  <c r="E698" i="5"/>
  <c r="E699" i="5"/>
  <c r="E700" i="5"/>
  <c r="E701" i="5"/>
  <c r="E702" i="5"/>
  <c r="F702" i="5"/>
  <c r="A701" i="5"/>
  <c r="G702" i="5"/>
  <c r="C759" i="5"/>
  <c r="A758" i="5"/>
  <c r="D759" i="5"/>
  <c r="D96" i="6"/>
  <c r="E96" i="6"/>
  <c r="F96" i="6"/>
  <c r="AB8" i="2"/>
  <c r="D148" i="6"/>
  <c r="E148" i="6"/>
  <c r="G148" i="6"/>
  <c r="H148" i="6"/>
  <c r="I148" i="6"/>
  <c r="J148" i="6"/>
  <c r="K148" i="6"/>
  <c r="L148" i="6"/>
  <c r="M148" i="6"/>
  <c r="N148" i="6"/>
  <c r="O148" i="6"/>
  <c r="P148" i="6"/>
  <c r="AE8" i="2"/>
  <c r="C24" i="7"/>
  <c r="D24" i="7"/>
  <c r="E24" i="7"/>
  <c r="D8" i="2"/>
  <c r="C121" i="5"/>
  <c r="D121" i="5"/>
  <c r="C176" i="5"/>
  <c r="C238" i="5"/>
  <c r="D238" i="5"/>
  <c r="C444" i="5"/>
  <c r="D526" i="5"/>
  <c r="I526" i="5"/>
  <c r="K526" i="5"/>
  <c r="F526" i="5"/>
  <c r="H526" i="5"/>
  <c r="L526" i="5"/>
  <c r="I572" i="5"/>
  <c r="K572" i="5"/>
  <c r="F572" i="5"/>
  <c r="H572" i="5"/>
  <c r="L572" i="5"/>
  <c r="F625" i="5"/>
  <c r="G625" i="5"/>
  <c r="H625" i="5"/>
  <c r="C811" i="5"/>
  <c r="D811" i="5"/>
  <c r="E811" i="5"/>
  <c r="G8" i="4"/>
  <c r="G9" i="4"/>
  <c r="G13" i="4"/>
  <c r="G14" i="4"/>
  <c r="G17" i="4"/>
  <c r="C149" i="6"/>
  <c r="C703" i="5"/>
  <c r="D703" i="5"/>
  <c r="E703" i="5"/>
  <c r="F703" i="5"/>
  <c r="A702" i="5"/>
  <c r="G703" i="5"/>
  <c r="C760" i="5"/>
  <c r="A759" i="5"/>
  <c r="D760" i="5"/>
  <c r="D97" i="6"/>
  <c r="E97" i="6"/>
  <c r="F97" i="6"/>
  <c r="AB9" i="2"/>
  <c r="D149" i="6"/>
  <c r="E149" i="6"/>
  <c r="G149" i="6"/>
  <c r="H149" i="6"/>
  <c r="I149" i="6"/>
  <c r="J149" i="6"/>
  <c r="K149" i="6"/>
  <c r="L149" i="6"/>
  <c r="M149" i="6"/>
  <c r="N149" i="6"/>
  <c r="O149" i="6"/>
  <c r="P149" i="6"/>
  <c r="AE9" i="2"/>
  <c r="C25" i="7"/>
  <c r="D25" i="7"/>
  <c r="E25" i="7"/>
  <c r="D9" i="2"/>
  <c r="C122" i="5"/>
  <c r="D122" i="5"/>
  <c r="C177" i="5"/>
  <c r="C239" i="5"/>
  <c r="D239" i="5"/>
  <c r="C445" i="5"/>
  <c r="D527" i="5"/>
  <c r="I527" i="5"/>
  <c r="K527" i="5"/>
  <c r="F527" i="5"/>
  <c r="H527" i="5"/>
  <c r="L527" i="5"/>
  <c r="I573" i="5"/>
  <c r="K573" i="5"/>
  <c r="F573" i="5"/>
  <c r="H573" i="5"/>
  <c r="L573" i="5"/>
  <c r="F626" i="5"/>
  <c r="G626" i="5"/>
  <c r="H626" i="5"/>
  <c r="C812" i="5"/>
  <c r="D812" i="5"/>
  <c r="E812" i="5"/>
  <c r="H8" i="4"/>
  <c r="H9" i="4"/>
  <c r="H13" i="4"/>
  <c r="H14" i="4"/>
  <c r="H17" i="4"/>
  <c r="C150" i="6"/>
  <c r="C704" i="5"/>
  <c r="D704" i="5"/>
  <c r="E704" i="5"/>
  <c r="F704" i="5"/>
  <c r="A703" i="5"/>
  <c r="G704" i="5"/>
  <c r="C761" i="5"/>
  <c r="A760" i="5"/>
  <c r="D761" i="5"/>
  <c r="D98" i="6"/>
  <c r="E98" i="6"/>
  <c r="F98" i="6"/>
  <c r="AB10" i="2"/>
  <c r="D150" i="6"/>
  <c r="E150" i="6"/>
  <c r="G150" i="6"/>
  <c r="H150" i="6"/>
  <c r="I150" i="6"/>
  <c r="J150" i="6"/>
  <c r="K150" i="6"/>
  <c r="L150" i="6"/>
  <c r="M150" i="6"/>
  <c r="N150" i="6"/>
  <c r="O150" i="6"/>
  <c r="P150" i="6"/>
  <c r="AE10" i="2"/>
  <c r="C26" i="7"/>
  <c r="D26" i="7"/>
  <c r="E26" i="7"/>
  <c r="D10" i="2"/>
  <c r="C123" i="5"/>
  <c r="D123" i="5"/>
  <c r="C178" i="5"/>
  <c r="C240" i="5"/>
  <c r="D240" i="5"/>
  <c r="C446" i="5"/>
  <c r="D528" i="5"/>
  <c r="I528" i="5"/>
  <c r="K528" i="5"/>
  <c r="F528" i="5"/>
  <c r="H528" i="5"/>
  <c r="L528" i="5"/>
  <c r="I574" i="5"/>
  <c r="K574" i="5"/>
  <c r="F574" i="5"/>
  <c r="H574" i="5"/>
  <c r="L574" i="5"/>
  <c r="F627" i="5"/>
  <c r="G627" i="5"/>
  <c r="H627" i="5"/>
  <c r="C813" i="5"/>
  <c r="D813" i="5"/>
  <c r="E813" i="5"/>
  <c r="I8" i="4"/>
  <c r="I9" i="4"/>
  <c r="I13" i="4"/>
  <c r="I14" i="4"/>
  <c r="I17" i="4"/>
  <c r="C151" i="6"/>
  <c r="C705" i="5"/>
  <c r="D705" i="5"/>
  <c r="E705" i="5"/>
  <c r="F705" i="5"/>
  <c r="A704" i="5"/>
  <c r="G705" i="5"/>
  <c r="C762" i="5"/>
  <c r="A761" i="5"/>
  <c r="D762" i="5"/>
  <c r="D99" i="6"/>
  <c r="E99" i="6"/>
  <c r="F99" i="6"/>
  <c r="AB11" i="2"/>
  <c r="D151" i="6"/>
  <c r="E151" i="6"/>
  <c r="G151" i="6"/>
  <c r="H151" i="6"/>
  <c r="I151" i="6"/>
  <c r="J151" i="6"/>
  <c r="K151" i="6"/>
  <c r="L151" i="6"/>
  <c r="M151" i="6"/>
  <c r="N151" i="6"/>
  <c r="O151" i="6"/>
  <c r="P151" i="6"/>
  <c r="AE11" i="2"/>
  <c r="C27" i="7"/>
  <c r="D27" i="7"/>
  <c r="E27" i="7"/>
  <c r="D11" i="2"/>
  <c r="C124" i="5"/>
  <c r="D124" i="5"/>
  <c r="C179" i="5"/>
  <c r="C241" i="5"/>
  <c r="D241" i="5"/>
  <c r="C447" i="5"/>
  <c r="D529" i="5"/>
  <c r="I529" i="5"/>
  <c r="K529" i="5"/>
  <c r="F529" i="5"/>
  <c r="H529" i="5"/>
  <c r="L529" i="5"/>
  <c r="I575" i="5"/>
  <c r="K575" i="5"/>
  <c r="F575" i="5"/>
  <c r="H575" i="5"/>
  <c r="L575" i="5"/>
  <c r="F628" i="5"/>
  <c r="G628" i="5"/>
  <c r="H628" i="5"/>
  <c r="C814" i="5"/>
  <c r="D814" i="5"/>
  <c r="E814" i="5"/>
  <c r="J8" i="4"/>
  <c r="J9" i="4"/>
  <c r="J13" i="4"/>
  <c r="J14" i="4"/>
  <c r="J17" i="4"/>
  <c r="C152" i="6"/>
  <c r="C706" i="5"/>
  <c r="D706" i="5"/>
  <c r="E706" i="5"/>
  <c r="F706" i="5"/>
  <c r="A705" i="5"/>
  <c r="G706" i="5"/>
  <c r="C763" i="5"/>
  <c r="A762" i="5"/>
  <c r="D763" i="5"/>
  <c r="D100" i="6"/>
  <c r="E100" i="6"/>
  <c r="F100" i="6"/>
  <c r="AB12" i="2"/>
  <c r="D152" i="6"/>
  <c r="E152" i="6"/>
  <c r="G152" i="6"/>
  <c r="H152" i="6"/>
  <c r="I152" i="6"/>
  <c r="J152" i="6"/>
  <c r="K152" i="6"/>
  <c r="L152" i="6"/>
  <c r="M152" i="6"/>
  <c r="N152" i="6"/>
  <c r="O152" i="6"/>
  <c r="P152" i="6"/>
  <c r="AE12" i="2"/>
  <c r="C28" i="7"/>
  <c r="D28" i="7"/>
  <c r="E28" i="7"/>
  <c r="D12" i="2"/>
  <c r="C125" i="5"/>
  <c r="D125" i="5"/>
  <c r="C180" i="5"/>
  <c r="C242" i="5"/>
  <c r="D242" i="5"/>
  <c r="C448" i="5"/>
  <c r="D530" i="5"/>
  <c r="I530" i="5"/>
  <c r="K530" i="5"/>
  <c r="F530" i="5"/>
  <c r="H530" i="5"/>
  <c r="L530" i="5"/>
  <c r="I576" i="5"/>
  <c r="K576" i="5"/>
  <c r="F576" i="5"/>
  <c r="H576" i="5"/>
  <c r="L576" i="5"/>
  <c r="F629" i="5"/>
  <c r="G629" i="5"/>
  <c r="H629" i="5"/>
  <c r="C815" i="5"/>
  <c r="D815" i="5"/>
  <c r="E815" i="5"/>
  <c r="K8" i="4"/>
  <c r="K9" i="4"/>
  <c r="K13" i="4"/>
  <c r="K14" i="4"/>
  <c r="K17" i="4"/>
  <c r="C153" i="6"/>
  <c r="C707" i="5"/>
  <c r="D707" i="5"/>
  <c r="E707" i="5"/>
  <c r="F707" i="5"/>
  <c r="A706" i="5"/>
  <c r="G707" i="5"/>
  <c r="C764" i="5"/>
  <c r="A763" i="5"/>
  <c r="D764" i="5"/>
  <c r="D101" i="6"/>
  <c r="E101" i="6"/>
  <c r="F101" i="6"/>
  <c r="AB13" i="2"/>
  <c r="D153" i="6"/>
  <c r="E153" i="6"/>
  <c r="G153" i="6"/>
  <c r="H153" i="6"/>
  <c r="I153" i="6"/>
  <c r="J153" i="6"/>
  <c r="K153" i="6"/>
  <c r="L153" i="6"/>
  <c r="M153" i="6"/>
  <c r="N153" i="6"/>
  <c r="O153" i="6"/>
  <c r="P153" i="6"/>
  <c r="AE13" i="2"/>
  <c r="C29" i="7"/>
  <c r="D29" i="7"/>
  <c r="E29" i="7"/>
  <c r="D13" i="2"/>
  <c r="C126" i="5"/>
  <c r="D126" i="5"/>
  <c r="C181" i="5"/>
  <c r="C243" i="5"/>
  <c r="D243" i="5"/>
  <c r="C449" i="5"/>
  <c r="D531" i="5"/>
  <c r="I531" i="5"/>
  <c r="K531" i="5"/>
  <c r="F531" i="5"/>
  <c r="H531" i="5"/>
  <c r="L531" i="5"/>
  <c r="I577" i="5"/>
  <c r="K577" i="5"/>
  <c r="F577" i="5"/>
  <c r="H577" i="5"/>
  <c r="L577" i="5"/>
  <c r="F630" i="5"/>
  <c r="G630" i="5"/>
  <c r="H630" i="5"/>
  <c r="C816" i="5"/>
  <c r="D816" i="5"/>
  <c r="E816" i="5"/>
  <c r="L8" i="4"/>
  <c r="L9" i="4"/>
  <c r="L13" i="4"/>
  <c r="L14" i="4"/>
  <c r="L17" i="4"/>
  <c r="C154" i="6"/>
  <c r="C708" i="5"/>
  <c r="D708" i="5"/>
  <c r="E708" i="5"/>
  <c r="F708" i="5"/>
  <c r="A707" i="5"/>
  <c r="G708" i="5"/>
  <c r="C765" i="5"/>
  <c r="A764" i="5"/>
  <c r="D765" i="5"/>
  <c r="D102" i="6"/>
  <c r="E102" i="6"/>
  <c r="F102" i="6"/>
  <c r="AB14" i="2"/>
  <c r="D154" i="6"/>
  <c r="E154" i="6"/>
  <c r="G154" i="6"/>
  <c r="H154" i="6"/>
  <c r="I154" i="6"/>
  <c r="J154" i="6"/>
  <c r="K154" i="6"/>
  <c r="L154" i="6"/>
  <c r="M154" i="6"/>
  <c r="N154" i="6"/>
  <c r="O154" i="6"/>
  <c r="P154" i="6"/>
  <c r="AE14" i="2"/>
  <c r="C30" i="7"/>
  <c r="D30" i="7"/>
  <c r="E30" i="7"/>
  <c r="D14" i="2"/>
  <c r="C127" i="5"/>
  <c r="D127" i="5"/>
  <c r="C182" i="5"/>
  <c r="C244" i="5"/>
  <c r="D244" i="5"/>
  <c r="C450" i="5"/>
  <c r="D532" i="5"/>
  <c r="I532" i="5"/>
  <c r="K532" i="5"/>
  <c r="F532" i="5"/>
  <c r="H532" i="5"/>
  <c r="L532" i="5"/>
  <c r="I578" i="5"/>
  <c r="K578" i="5"/>
  <c r="F578" i="5"/>
  <c r="H578" i="5"/>
  <c r="L578" i="5"/>
  <c r="F631" i="5"/>
  <c r="G631" i="5"/>
  <c r="H631" i="5"/>
  <c r="C817" i="5"/>
  <c r="D817" i="5"/>
  <c r="E817" i="5"/>
  <c r="M8" i="4"/>
  <c r="M9" i="4"/>
  <c r="M13" i="4"/>
  <c r="M14" i="4"/>
  <c r="M17" i="4"/>
  <c r="C155" i="6"/>
  <c r="C709" i="5"/>
  <c r="D709" i="5"/>
  <c r="E709" i="5"/>
  <c r="F709" i="5"/>
  <c r="A708" i="5"/>
  <c r="G709" i="5"/>
  <c r="C766" i="5"/>
  <c r="A765" i="5"/>
  <c r="D766" i="5"/>
  <c r="D103" i="6"/>
  <c r="E103" i="6"/>
  <c r="F103" i="6"/>
  <c r="AB15" i="2"/>
  <c r="D155" i="6"/>
  <c r="E155" i="6"/>
  <c r="G155" i="6"/>
  <c r="H155" i="6"/>
  <c r="I155" i="6"/>
  <c r="J155" i="6"/>
  <c r="K155" i="6"/>
  <c r="L155" i="6"/>
  <c r="M155" i="6"/>
  <c r="N155" i="6"/>
  <c r="O155" i="6"/>
  <c r="P155" i="6"/>
  <c r="AE15" i="2"/>
  <c r="C31" i="7"/>
  <c r="D31" i="7"/>
  <c r="E31" i="7"/>
  <c r="D15" i="2"/>
  <c r="C128" i="5"/>
  <c r="D128" i="5"/>
  <c r="C183" i="5"/>
  <c r="C245" i="5"/>
  <c r="D245" i="5"/>
  <c r="C451" i="5"/>
  <c r="D533" i="5"/>
  <c r="I533" i="5"/>
  <c r="K533" i="5"/>
  <c r="F533" i="5"/>
  <c r="H533" i="5"/>
  <c r="L533" i="5"/>
  <c r="I579" i="5"/>
  <c r="K579" i="5"/>
  <c r="F579" i="5"/>
  <c r="H579" i="5"/>
  <c r="L579" i="5"/>
  <c r="F632" i="5"/>
  <c r="G632" i="5"/>
  <c r="H632" i="5"/>
  <c r="C818" i="5"/>
  <c r="D818" i="5"/>
  <c r="E818" i="5"/>
  <c r="N8" i="4"/>
  <c r="N9" i="4"/>
  <c r="N13" i="4"/>
  <c r="N14" i="4"/>
  <c r="N17" i="4"/>
  <c r="C156" i="6"/>
  <c r="C710" i="5"/>
  <c r="D710" i="5"/>
  <c r="E710" i="5"/>
  <c r="F710" i="5"/>
  <c r="A709" i="5"/>
  <c r="G710" i="5"/>
  <c r="C767" i="5"/>
  <c r="A766" i="5"/>
  <c r="D767" i="5"/>
  <c r="D104" i="6"/>
  <c r="E104" i="6"/>
  <c r="F104" i="6"/>
  <c r="AB16" i="2"/>
  <c r="D156" i="6"/>
  <c r="E156" i="6"/>
  <c r="G156" i="6"/>
  <c r="H156" i="6"/>
  <c r="I156" i="6"/>
  <c r="J156" i="6"/>
  <c r="K156" i="6"/>
  <c r="L156" i="6"/>
  <c r="M156" i="6"/>
  <c r="N156" i="6"/>
  <c r="O156" i="6"/>
  <c r="P156" i="6"/>
  <c r="AE16" i="2"/>
  <c r="C32" i="7"/>
  <c r="D32" i="7"/>
  <c r="E32" i="7"/>
  <c r="D16" i="2"/>
  <c r="C129" i="5"/>
  <c r="D129" i="5"/>
  <c r="C184" i="5"/>
  <c r="C246" i="5"/>
  <c r="D246" i="5"/>
  <c r="C452" i="5"/>
  <c r="D534" i="5"/>
  <c r="I534" i="5"/>
  <c r="K534" i="5"/>
  <c r="F534" i="5"/>
  <c r="H534" i="5"/>
  <c r="L534" i="5"/>
  <c r="I580" i="5"/>
  <c r="K580" i="5"/>
  <c r="F580" i="5"/>
  <c r="H580" i="5"/>
  <c r="L580" i="5"/>
  <c r="F633" i="5"/>
  <c r="G633" i="5"/>
  <c r="H633" i="5"/>
  <c r="C819" i="5"/>
  <c r="D819" i="5"/>
  <c r="E819" i="5"/>
  <c r="O8" i="4"/>
  <c r="O9" i="4"/>
  <c r="O13" i="4"/>
  <c r="O14" i="4"/>
  <c r="O17" i="4"/>
  <c r="C157" i="6"/>
  <c r="C711" i="5"/>
  <c r="D711" i="5"/>
  <c r="E711" i="5"/>
  <c r="F711" i="5"/>
  <c r="A710" i="5"/>
  <c r="G711" i="5"/>
  <c r="C768" i="5"/>
  <c r="A767" i="5"/>
  <c r="D768" i="5"/>
  <c r="D105" i="6"/>
  <c r="E105" i="6"/>
  <c r="F105" i="6"/>
  <c r="AB17" i="2"/>
  <c r="D157" i="6"/>
  <c r="E157" i="6"/>
  <c r="G157" i="6"/>
  <c r="H157" i="6"/>
  <c r="I157" i="6"/>
  <c r="J157" i="6"/>
  <c r="K157" i="6"/>
  <c r="L157" i="6"/>
  <c r="M157" i="6"/>
  <c r="N157" i="6"/>
  <c r="O157" i="6"/>
  <c r="P157" i="6"/>
  <c r="AE17" i="2"/>
  <c r="C33" i="7"/>
  <c r="D33" i="7"/>
  <c r="E33" i="7"/>
  <c r="D17" i="2"/>
  <c r="C130" i="5"/>
  <c r="D130" i="5"/>
  <c r="C185" i="5"/>
  <c r="C247" i="5"/>
  <c r="D247" i="5"/>
  <c r="C453" i="5"/>
  <c r="D535" i="5"/>
  <c r="I535" i="5"/>
  <c r="K535" i="5"/>
  <c r="F535" i="5"/>
  <c r="H535" i="5"/>
  <c r="L535" i="5"/>
  <c r="I581" i="5"/>
  <c r="K581" i="5"/>
  <c r="F581" i="5"/>
  <c r="H581" i="5"/>
  <c r="L581" i="5"/>
  <c r="F634" i="5"/>
  <c r="G634" i="5"/>
  <c r="H634" i="5"/>
  <c r="C820" i="5"/>
  <c r="D820" i="5"/>
  <c r="E820" i="5"/>
  <c r="P8" i="4"/>
  <c r="P9" i="4"/>
  <c r="P13" i="4"/>
  <c r="P14" i="4"/>
  <c r="P17" i="4"/>
  <c r="C158" i="6"/>
  <c r="C712" i="5"/>
  <c r="D712" i="5"/>
  <c r="E712" i="5"/>
  <c r="F712" i="5"/>
  <c r="A711" i="5"/>
  <c r="G712" i="5"/>
  <c r="C769" i="5"/>
  <c r="A768" i="5"/>
  <c r="D769" i="5"/>
  <c r="D106" i="6"/>
  <c r="E106" i="6"/>
  <c r="F106" i="6"/>
  <c r="AB18" i="2"/>
  <c r="D158" i="6"/>
  <c r="E158" i="6"/>
  <c r="G158" i="6"/>
  <c r="H158" i="6"/>
  <c r="I158" i="6"/>
  <c r="J158" i="6"/>
  <c r="K158" i="6"/>
  <c r="L158" i="6"/>
  <c r="M158" i="6"/>
  <c r="N158" i="6"/>
  <c r="O158" i="6"/>
  <c r="P158" i="6"/>
  <c r="AE18" i="2"/>
  <c r="C34" i="7"/>
  <c r="D34" i="7"/>
  <c r="E34" i="7"/>
  <c r="D18" i="2"/>
  <c r="C131" i="5"/>
  <c r="D131" i="5"/>
  <c r="C186" i="5"/>
  <c r="C248" i="5"/>
  <c r="D248" i="5"/>
  <c r="C454" i="5"/>
  <c r="D536" i="5"/>
  <c r="I536" i="5"/>
  <c r="K536" i="5"/>
  <c r="F536" i="5"/>
  <c r="H536" i="5"/>
  <c r="L536" i="5"/>
  <c r="I582" i="5"/>
  <c r="K582" i="5"/>
  <c r="F582" i="5"/>
  <c r="H582" i="5"/>
  <c r="L582" i="5"/>
  <c r="F635" i="5"/>
  <c r="G635" i="5"/>
  <c r="H635" i="5"/>
  <c r="C821" i="5"/>
  <c r="D821" i="5"/>
  <c r="E821" i="5"/>
  <c r="Q8" i="4"/>
  <c r="Q9" i="4"/>
  <c r="Q13" i="4"/>
  <c r="Q14" i="4"/>
  <c r="Q17" i="4"/>
  <c r="C159" i="6"/>
  <c r="C713" i="5"/>
  <c r="D713" i="5"/>
  <c r="E713" i="5"/>
  <c r="F713" i="5"/>
  <c r="A712" i="5"/>
  <c r="G713" i="5"/>
  <c r="C770" i="5"/>
  <c r="A769" i="5"/>
  <c r="D770" i="5"/>
  <c r="D107" i="6"/>
  <c r="E107" i="6"/>
  <c r="F107" i="6"/>
  <c r="AB19" i="2"/>
  <c r="D159" i="6"/>
  <c r="E159" i="6"/>
  <c r="G159" i="6"/>
  <c r="H159" i="6"/>
  <c r="I159" i="6"/>
  <c r="J159" i="6"/>
  <c r="K159" i="6"/>
  <c r="L159" i="6"/>
  <c r="M159" i="6"/>
  <c r="N159" i="6"/>
  <c r="O159" i="6"/>
  <c r="P159" i="6"/>
  <c r="AE19" i="2"/>
  <c r="C35" i="7"/>
  <c r="D35" i="7"/>
  <c r="E35" i="7"/>
  <c r="D19" i="2"/>
  <c r="C132" i="5"/>
  <c r="D132" i="5"/>
  <c r="C187" i="5"/>
  <c r="C249" i="5"/>
  <c r="D249" i="5"/>
  <c r="C455" i="5"/>
  <c r="D537" i="5"/>
  <c r="I537" i="5"/>
  <c r="K537" i="5"/>
  <c r="F537" i="5"/>
  <c r="H537" i="5"/>
  <c r="L537" i="5"/>
  <c r="I583" i="5"/>
  <c r="K583" i="5"/>
  <c r="F583" i="5"/>
  <c r="H583" i="5"/>
  <c r="L583" i="5"/>
  <c r="F636" i="5"/>
  <c r="G636" i="5"/>
  <c r="H636" i="5"/>
  <c r="C822" i="5"/>
  <c r="D822" i="5"/>
  <c r="E822" i="5"/>
  <c r="R8" i="4"/>
  <c r="R9" i="4"/>
  <c r="R13" i="4"/>
  <c r="R14" i="4"/>
  <c r="R17" i="4"/>
  <c r="C160" i="6"/>
  <c r="C714" i="5"/>
  <c r="D714" i="5"/>
  <c r="E714" i="5"/>
  <c r="F714" i="5"/>
  <c r="A713" i="5"/>
  <c r="G714" i="5"/>
  <c r="C771" i="5"/>
  <c r="A770" i="5"/>
  <c r="D771" i="5"/>
  <c r="D108" i="6"/>
  <c r="E108" i="6"/>
  <c r="F108" i="6"/>
  <c r="AB20" i="2"/>
  <c r="D160" i="6"/>
  <c r="E160" i="6"/>
  <c r="G160" i="6"/>
  <c r="H160" i="6"/>
  <c r="I160" i="6"/>
  <c r="J160" i="6"/>
  <c r="K160" i="6"/>
  <c r="L160" i="6"/>
  <c r="M160" i="6"/>
  <c r="N160" i="6"/>
  <c r="O160" i="6"/>
  <c r="P160" i="6"/>
  <c r="AE20" i="2"/>
  <c r="C36" i="7"/>
  <c r="D36" i="7"/>
  <c r="E36" i="7"/>
  <c r="D20" i="2"/>
  <c r="C133" i="5"/>
  <c r="D133" i="5"/>
  <c r="C188" i="5"/>
  <c r="C250" i="5"/>
  <c r="D250" i="5"/>
  <c r="C456" i="5"/>
  <c r="D538" i="5"/>
  <c r="I538" i="5"/>
  <c r="K538" i="5"/>
  <c r="F538" i="5"/>
  <c r="H538" i="5"/>
  <c r="L538" i="5"/>
  <c r="I584" i="5"/>
  <c r="K584" i="5"/>
  <c r="F584" i="5"/>
  <c r="H584" i="5"/>
  <c r="L584" i="5"/>
  <c r="F637" i="5"/>
  <c r="G637" i="5"/>
  <c r="H637" i="5"/>
  <c r="C823" i="5"/>
  <c r="D823" i="5"/>
  <c r="E823" i="5"/>
  <c r="S8" i="4"/>
  <c r="S9" i="4"/>
  <c r="S13" i="4"/>
  <c r="S14" i="4"/>
  <c r="S17" i="4"/>
  <c r="C161" i="6"/>
  <c r="C715" i="5"/>
  <c r="D715" i="5"/>
  <c r="E715" i="5"/>
  <c r="F715" i="5"/>
  <c r="A714" i="5"/>
  <c r="G715" i="5"/>
  <c r="C772" i="5"/>
  <c r="A771" i="5"/>
  <c r="D772" i="5"/>
  <c r="D109" i="6"/>
  <c r="E109" i="6"/>
  <c r="F109" i="6"/>
  <c r="AB21" i="2"/>
  <c r="D161" i="6"/>
  <c r="E161" i="6"/>
  <c r="G161" i="6"/>
  <c r="H161" i="6"/>
  <c r="I161" i="6"/>
  <c r="J161" i="6"/>
  <c r="K161" i="6"/>
  <c r="L161" i="6"/>
  <c r="M161" i="6"/>
  <c r="N161" i="6"/>
  <c r="O161" i="6"/>
  <c r="P161" i="6"/>
  <c r="AE21" i="2"/>
  <c r="C37" i="7"/>
  <c r="D37" i="7"/>
  <c r="E37" i="7"/>
  <c r="D21" i="2"/>
  <c r="C134" i="5"/>
  <c r="D134" i="5"/>
  <c r="C189" i="5"/>
  <c r="C251" i="5"/>
  <c r="D251" i="5"/>
  <c r="C457" i="5"/>
  <c r="D539" i="5"/>
  <c r="I539" i="5"/>
  <c r="K539" i="5"/>
  <c r="F539" i="5"/>
  <c r="H539" i="5"/>
  <c r="L539" i="5"/>
  <c r="I585" i="5"/>
  <c r="K585" i="5"/>
  <c r="F585" i="5"/>
  <c r="H585" i="5"/>
  <c r="L585" i="5"/>
  <c r="F638" i="5"/>
  <c r="G638" i="5"/>
  <c r="H638" i="5"/>
  <c r="C824" i="5"/>
  <c r="D824" i="5"/>
  <c r="E824" i="5"/>
  <c r="T8" i="4"/>
  <c r="T9" i="4"/>
  <c r="T13" i="4"/>
  <c r="T14" i="4"/>
  <c r="T17" i="4"/>
  <c r="C162" i="6"/>
  <c r="C716" i="5"/>
  <c r="D716" i="5"/>
  <c r="E716" i="5"/>
  <c r="F716" i="5"/>
  <c r="A715" i="5"/>
  <c r="G716" i="5"/>
  <c r="C773" i="5"/>
  <c r="A772" i="5"/>
  <c r="D773" i="5"/>
  <c r="D110" i="6"/>
  <c r="E110" i="6"/>
  <c r="F110" i="6"/>
  <c r="AB22" i="2"/>
  <c r="D162" i="6"/>
  <c r="E162" i="6"/>
  <c r="G162" i="6"/>
  <c r="H162" i="6"/>
  <c r="I162" i="6"/>
  <c r="J162" i="6"/>
  <c r="K162" i="6"/>
  <c r="L162" i="6"/>
  <c r="M162" i="6"/>
  <c r="N162" i="6"/>
  <c r="O162" i="6"/>
  <c r="P162" i="6"/>
  <c r="AE22" i="2"/>
  <c r="C38" i="7"/>
  <c r="D38" i="7"/>
  <c r="E38" i="7"/>
  <c r="D22" i="2"/>
  <c r="C135" i="5"/>
  <c r="D135" i="5"/>
  <c r="C190" i="5"/>
  <c r="C252" i="5"/>
  <c r="D252" i="5"/>
  <c r="C458" i="5"/>
  <c r="D540" i="5"/>
  <c r="I540" i="5"/>
  <c r="K540" i="5"/>
  <c r="F540" i="5"/>
  <c r="H540" i="5"/>
  <c r="L540" i="5"/>
  <c r="I586" i="5"/>
  <c r="K586" i="5"/>
  <c r="F586" i="5"/>
  <c r="H586" i="5"/>
  <c r="L586" i="5"/>
  <c r="F639" i="5"/>
  <c r="G639" i="5"/>
  <c r="H639" i="5"/>
  <c r="C825" i="5"/>
  <c r="D825" i="5"/>
  <c r="E825" i="5"/>
  <c r="U8" i="4"/>
  <c r="U9" i="4"/>
  <c r="U13" i="4"/>
  <c r="U14" i="4"/>
  <c r="U17" i="4"/>
  <c r="C163" i="6"/>
  <c r="C717" i="5"/>
  <c r="D717" i="5"/>
  <c r="E717" i="5"/>
  <c r="F717" i="5"/>
  <c r="A716" i="5"/>
  <c r="G717" i="5"/>
  <c r="C774" i="5"/>
  <c r="A773" i="5"/>
  <c r="D774" i="5"/>
  <c r="D111" i="6"/>
  <c r="E111" i="6"/>
  <c r="F111" i="6"/>
  <c r="AB23" i="2"/>
  <c r="D163" i="6"/>
  <c r="E163" i="6"/>
  <c r="G163" i="6"/>
  <c r="H163" i="6"/>
  <c r="I163" i="6"/>
  <c r="J163" i="6"/>
  <c r="K163" i="6"/>
  <c r="L163" i="6"/>
  <c r="M163" i="6"/>
  <c r="N163" i="6"/>
  <c r="O163" i="6"/>
  <c r="P163" i="6"/>
  <c r="AE23" i="2"/>
  <c r="C39" i="7"/>
  <c r="D39" i="7"/>
  <c r="E39" i="7"/>
  <c r="D23" i="2"/>
  <c r="C136" i="5"/>
  <c r="D136" i="5"/>
  <c r="C191" i="5"/>
  <c r="C253" i="5"/>
  <c r="D253" i="5"/>
  <c r="C459" i="5"/>
  <c r="D541" i="5"/>
  <c r="I541" i="5"/>
  <c r="K541" i="5"/>
  <c r="F541" i="5"/>
  <c r="H541" i="5"/>
  <c r="L541" i="5"/>
  <c r="I587" i="5"/>
  <c r="K587" i="5"/>
  <c r="F587" i="5"/>
  <c r="H587" i="5"/>
  <c r="L587" i="5"/>
  <c r="F640" i="5"/>
  <c r="G640" i="5"/>
  <c r="H640" i="5"/>
  <c r="C826" i="5"/>
  <c r="D826" i="5"/>
  <c r="E826" i="5"/>
  <c r="V8" i="4"/>
  <c r="V9" i="4"/>
  <c r="V13" i="4"/>
  <c r="V14" i="4"/>
  <c r="V17" i="4"/>
  <c r="C164" i="6"/>
  <c r="C718" i="5"/>
  <c r="D718" i="5"/>
  <c r="E718" i="5"/>
  <c r="F718" i="5"/>
  <c r="A717" i="5"/>
  <c r="G718" i="5"/>
  <c r="C775" i="5"/>
  <c r="A774" i="5"/>
  <c r="D775" i="5"/>
  <c r="D112" i="6"/>
  <c r="E112" i="6"/>
  <c r="F112" i="6"/>
  <c r="AB24" i="2"/>
  <c r="D164" i="6"/>
  <c r="E164" i="6"/>
  <c r="G164" i="6"/>
  <c r="H164" i="6"/>
  <c r="I164" i="6"/>
  <c r="J164" i="6"/>
  <c r="K164" i="6"/>
  <c r="L164" i="6"/>
  <c r="M164" i="6"/>
  <c r="N164" i="6"/>
  <c r="O164" i="6"/>
  <c r="P164" i="6"/>
  <c r="AE24" i="2"/>
  <c r="C40" i="7"/>
  <c r="D40" i="7"/>
  <c r="E40" i="7"/>
  <c r="D24" i="2"/>
  <c r="C137" i="5"/>
  <c r="D137" i="5"/>
  <c r="C192" i="5"/>
  <c r="C254" i="5"/>
  <c r="D254" i="5"/>
  <c r="C460" i="5"/>
  <c r="D542" i="5"/>
  <c r="I542" i="5"/>
  <c r="K542" i="5"/>
  <c r="F542" i="5"/>
  <c r="H542" i="5"/>
  <c r="L542" i="5"/>
  <c r="I588" i="5"/>
  <c r="K588" i="5"/>
  <c r="F588" i="5"/>
  <c r="H588" i="5"/>
  <c r="L588" i="5"/>
  <c r="F641" i="5"/>
  <c r="G641" i="5"/>
  <c r="H641" i="5"/>
  <c r="C827" i="5"/>
  <c r="D827" i="5"/>
  <c r="E827" i="5"/>
  <c r="W8" i="4"/>
  <c r="W9" i="4"/>
  <c r="W13" i="4"/>
  <c r="W14" i="4"/>
  <c r="W17" i="4"/>
  <c r="C165" i="6"/>
  <c r="C719" i="5"/>
  <c r="D719" i="5"/>
  <c r="E719" i="5"/>
  <c r="F719" i="5"/>
  <c r="A718" i="5"/>
  <c r="G719" i="5"/>
  <c r="C776" i="5"/>
  <c r="A775" i="5"/>
  <c r="D776" i="5"/>
  <c r="D113" i="6"/>
  <c r="E113" i="6"/>
  <c r="F113" i="6"/>
  <c r="AB25" i="2"/>
  <c r="D165" i="6"/>
  <c r="E165" i="6"/>
  <c r="G165" i="6"/>
  <c r="H165" i="6"/>
  <c r="I165" i="6"/>
  <c r="J165" i="6"/>
  <c r="K165" i="6"/>
  <c r="L165" i="6"/>
  <c r="M165" i="6"/>
  <c r="N165" i="6"/>
  <c r="O165" i="6"/>
  <c r="P165" i="6"/>
  <c r="AE25" i="2"/>
  <c r="C41" i="7"/>
  <c r="D41" i="7"/>
  <c r="E41" i="7"/>
  <c r="D25" i="2"/>
  <c r="C138" i="5"/>
  <c r="D138" i="5"/>
  <c r="C193" i="5"/>
  <c r="C255" i="5"/>
  <c r="D255" i="5"/>
  <c r="C461" i="5"/>
  <c r="D543" i="5"/>
  <c r="I543" i="5"/>
  <c r="K543" i="5"/>
  <c r="F543" i="5"/>
  <c r="H543" i="5"/>
  <c r="L543" i="5"/>
  <c r="I589" i="5"/>
  <c r="K589" i="5"/>
  <c r="F589" i="5"/>
  <c r="H589" i="5"/>
  <c r="L589" i="5"/>
  <c r="F642" i="5"/>
  <c r="G642" i="5"/>
  <c r="H642" i="5"/>
  <c r="C828" i="5"/>
  <c r="D828" i="5"/>
  <c r="E828" i="5"/>
  <c r="X8" i="4"/>
  <c r="X9" i="4"/>
  <c r="X13" i="4"/>
  <c r="X14" i="4"/>
  <c r="X17" i="4"/>
  <c r="C166" i="6"/>
  <c r="C720" i="5"/>
  <c r="D720" i="5"/>
  <c r="E720" i="5"/>
  <c r="F720" i="5"/>
  <c r="A719" i="5"/>
  <c r="G720" i="5"/>
  <c r="C777" i="5"/>
  <c r="A776" i="5"/>
  <c r="D777" i="5"/>
  <c r="D114" i="6"/>
  <c r="E114" i="6"/>
  <c r="F114" i="6"/>
  <c r="AB26" i="2"/>
  <c r="D166" i="6"/>
  <c r="E166" i="6"/>
  <c r="G166" i="6"/>
  <c r="H166" i="6"/>
  <c r="I166" i="6"/>
  <c r="J166" i="6"/>
  <c r="K166" i="6"/>
  <c r="L166" i="6"/>
  <c r="M166" i="6"/>
  <c r="N166" i="6"/>
  <c r="O166" i="6"/>
  <c r="P166" i="6"/>
  <c r="AE26" i="2"/>
  <c r="C42" i="7"/>
  <c r="D42" i="7"/>
  <c r="E42" i="7"/>
  <c r="D26" i="2"/>
  <c r="C139" i="5"/>
  <c r="D139" i="5"/>
  <c r="C194" i="5"/>
  <c r="C256" i="5"/>
  <c r="D256" i="5"/>
  <c r="C462" i="5"/>
  <c r="D544" i="5"/>
  <c r="I544" i="5"/>
  <c r="K544" i="5"/>
  <c r="F544" i="5"/>
  <c r="H544" i="5"/>
  <c r="L544" i="5"/>
  <c r="I590" i="5"/>
  <c r="K590" i="5"/>
  <c r="F590" i="5"/>
  <c r="H590" i="5"/>
  <c r="L590" i="5"/>
  <c r="F643" i="5"/>
  <c r="G643" i="5"/>
  <c r="H643" i="5"/>
  <c r="C829" i="5"/>
  <c r="D829" i="5"/>
  <c r="E829" i="5"/>
  <c r="Y8" i="4"/>
  <c r="Y9" i="4"/>
  <c r="Y13" i="4"/>
  <c r="Y14" i="4"/>
  <c r="Y17" i="4"/>
  <c r="C167" i="6"/>
  <c r="C721" i="5"/>
  <c r="D721" i="5"/>
  <c r="E721" i="5"/>
  <c r="F721" i="5"/>
  <c r="A720" i="5"/>
  <c r="G721" i="5"/>
  <c r="C778" i="5"/>
  <c r="A777" i="5"/>
  <c r="D778" i="5"/>
  <c r="D115" i="6"/>
  <c r="E115" i="6"/>
  <c r="F115" i="6"/>
  <c r="AB27" i="2"/>
  <c r="D167" i="6"/>
  <c r="E167" i="6"/>
  <c r="G167" i="6"/>
  <c r="H167" i="6"/>
  <c r="I167" i="6"/>
  <c r="J167" i="6"/>
  <c r="K167" i="6"/>
  <c r="L167" i="6"/>
  <c r="M167" i="6"/>
  <c r="N167" i="6"/>
  <c r="O167" i="6"/>
  <c r="P167" i="6"/>
  <c r="AE27" i="2"/>
  <c r="C43" i="7"/>
  <c r="D43" i="7"/>
  <c r="E43" i="7"/>
  <c r="D27" i="2"/>
  <c r="C140" i="5"/>
  <c r="D140" i="5"/>
  <c r="C195" i="5"/>
  <c r="C257" i="5"/>
  <c r="D257" i="5"/>
  <c r="C463" i="5"/>
  <c r="D545" i="5"/>
  <c r="I545" i="5"/>
  <c r="K545" i="5"/>
  <c r="F545" i="5"/>
  <c r="H545" i="5"/>
  <c r="L545" i="5"/>
  <c r="I591" i="5"/>
  <c r="K591" i="5"/>
  <c r="F591" i="5"/>
  <c r="H591" i="5"/>
  <c r="L591" i="5"/>
  <c r="F644" i="5"/>
  <c r="G644" i="5"/>
  <c r="H644" i="5"/>
  <c r="C830" i="5"/>
  <c r="D830" i="5"/>
  <c r="E830" i="5"/>
  <c r="Z8" i="4"/>
  <c r="Z9" i="4"/>
  <c r="Z13" i="4"/>
  <c r="Z14" i="4"/>
  <c r="Z17" i="4"/>
  <c r="C168" i="6"/>
  <c r="C722" i="5"/>
  <c r="D722" i="5"/>
  <c r="E722" i="5"/>
  <c r="F722" i="5"/>
  <c r="A721" i="5"/>
  <c r="G722" i="5"/>
  <c r="C779" i="5"/>
  <c r="A778" i="5"/>
  <c r="D779" i="5"/>
  <c r="D116" i="6"/>
  <c r="E116" i="6"/>
  <c r="F116" i="6"/>
  <c r="AB28" i="2"/>
  <c r="D168" i="6"/>
  <c r="E168" i="6"/>
  <c r="G168" i="6"/>
  <c r="H168" i="6"/>
  <c r="I168" i="6"/>
  <c r="J168" i="6"/>
  <c r="K168" i="6"/>
  <c r="L168" i="6"/>
  <c r="M168" i="6"/>
  <c r="N168" i="6"/>
  <c r="O168" i="6"/>
  <c r="P168" i="6"/>
  <c r="AE28" i="2"/>
  <c r="C44" i="7"/>
  <c r="D44" i="7"/>
  <c r="E44" i="7"/>
  <c r="D28" i="2"/>
  <c r="C141" i="5"/>
  <c r="D141" i="5"/>
  <c r="C196" i="5"/>
  <c r="C258" i="5"/>
  <c r="D258" i="5"/>
  <c r="C464" i="5"/>
  <c r="D546" i="5"/>
  <c r="I546" i="5"/>
  <c r="K546" i="5"/>
  <c r="F546" i="5"/>
  <c r="H546" i="5"/>
  <c r="L546" i="5"/>
  <c r="I592" i="5"/>
  <c r="K592" i="5"/>
  <c r="F592" i="5"/>
  <c r="H592" i="5"/>
  <c r="L592" i="5"/>
  <c r="F645" i="5"/>
  <c r="G645" i="5"/>
  <c r="H645" i="5"/>
  <c r="C831" i="5"/>
  <c r="D831" i="5"/>
  <c r="E831" i="5"/>
  <c r="AA8" i="4"/>
  <c r="AA9" i="4"/>
  <c r="AA13" i="4"/>
  <c r="AA14" i="4"/>
  <c r="AA17" i="4"/>
  <c r="C169" i="6"/>
  <c r="C723" i="5"/>
  <c r="D723" i="5"/>
  <c r="E723" i="5"/>
  <c r="F723" i="5"/>
  <c r="A722" i="5"/>
  <c r="G723" i="5"/>
  <c r="C780" i="5"/>
  <c r="A779" i="5"/>
  <c r="D780" i="5"/>
  <c r="D117" i="6"/>
  <c r="E117" i="6"/>
  <c r="F117" i="6"/>
  <c r="AB29" i="2"/>
  <c r="D169" i="6"/>
  <c r="E169" i="6"/>
  <c r="G169" i="6"/>
  <c r="H169" i="6"/>
  <c r="I169" i="6"/>
  <c r="J169" i="6"/>
  <c r="K169" i="6"/>
  <c r="L169" i="6"/>
  <c r="M169" i="6"/>
  <c r="N169" i="6"/>
  <c r="O169" i="6"/>
  <c r="P169" i="6"/>
  <c r="AE29" i="2"/>
  <c r="C45" i="7"/>
  <c r="D45" i="7"/>
  <c r="E45" i="7"/>
  <c r="D29" i="2"/>
  <c r="C142" i="5"/>
  <c r="D142" i="5"/>
  <c r="C197" i="5"/>
  <c r="C259" i="5"/>
  <c r="D259" i="5"/>
  <c r="C465" i="5"/>
  <c r="D547" i="5"/>
  <c r="I547" i="5"/>
  <c r="K547" i="5"/>
  <c r="F547" i="5"/>
  <c r="H547" i="5"/>
  <c r="L547" i="5"/>
  <c r="I593" i="5"/>
  <c r="K593" i="5"/>
  <c r="F593" i="5"/>
  <c r="H593" i="5"/>
  <c r="L593" i="5"/>
  <c r="F646" i="5"/>
  <c r="G646" i="5"/>
  <c r="H646" i="5"/>
  <c r="C832" i="5"/>
  <c r="D832" i="5"/>
  <c r="E832" i="5"/>
  <c r="AB8" i="4"/>
  <c r="AB9" i="4"/>
  <c r="AB13" i="4"/>
  <c r="AB14" i="4"/>
  <c r="AB17" i="4"/>
  <c r="C170" i="6"/>
  <c r="C724" i="5"/>
  <c r="D724" i="5"/>
  <c r="E724" i="5"/>
  <c r="F724" i="5"/>
  <c r="A723" i="5"/>
  <c r="G724" i="5"/>
  <c r="C781" i="5"/>
  <c r="A780" i="5"/>
  <c r="D781" i="5"/>
  <c r="D118" i="6"/>
  <c r="E118" i="6"/>
  <c r="F118" i="6"/>
  <c r="AB30" i="2"/>
  <c r="D170" i="6"/>
  <c r="E170" i="6"/>
  <c r="G170" i="6"/>
  <c r="H170" i="6"/>
  <c r="I170" i="6"/>
  <c r="J170" i="6"/>
  <c r="K170" i="6"/>
  <c r="L170" i="6"/>
  <c r="M170" i="6"/>
  <c r="N170" i="6"/>
  <c r="O170" i="6"/>
  <c r="P170" i="6"/>
  <c r="AE30" i="2"/>
  <c r="C46" i="7"/>
  <c r="D46" i="7"/>
  <c r="E46" i="7"/>
  <c r="D30" i="2"/>
  <c r="C143" i="5"/>
  <c r="D143" i="5"/>
  <c r="C198" i="5"/>
  <c r="C260" i="5"/>
  <c r="D260" i="5"/>
  <c r="C466" i="5"/>
  <c r="D548" i="5"/>
  <c r="I548" i="5"/>
  <c r="K548" i="5"/>
  <c r="F548" i="5"/>
  <c r="H548" i="5"/>
  <c r="L548" i="5"/>
  <c r="I594" i="5"/>
  <c r="K594" i="5"/>
  <c r="F594" i="5"/>
  <c r="H594" i="5"/>
  <c r="L594" i="5"/>
  <c r="F647" i="5"/>
  <c r="G647" i="5"/>
  <c r="H647" i="5"/>
  <c r="C833" i="5"/>
  <c r="D833" i="5"/>
  <c r="E833" i="5"/>
  <c r="AC8" i="4"/>
  <c r="AC9" i="4"/>
  <c r="AC13" i="4"/>
  <c r="AC14" i="4"/>
  <c r="AC17" i="4"/>
  <c r="C171" i="6"/>
  <c r="C725" i="5"/>
  <c r="D725" i="5"/>
  <c r="E725" i="5"/>
  <c r="F725" i="5"/>
  <c r="A724" i="5"/>
  <c r="G725" i="5"/>
  <c r="C782" i="5"/>
  <c r="A781" i="5"/>
  <c r="D782" i="5"/>
  <c r="D119" i="6"/>
  <c r="E119" i="6"/>
  <c r="F119" i="6"/>
  <c r="AB31" i="2"/>
  <c r="D171" i="6"/>
  <c r="E171" i="6"/>
  <c r="G171" i="6"/>
  <c r="H171" i="6"/>
  <c r="I171" i="6"/>
  <c r="J171" i="6"/>
  <c r="K171" i="6"/>
  <c r="L171" i="6"/>
  <c r="M171" i="6"/>
  <c r="N171" i="6"/>
  <c r="O171" i="6"/>
  <c r="P171" i="6"/>
  <c r="AE31" i="2"/>
  <c r="C47" i="7"/>
  <c r="D47" i="7"/>
  <c r="E47" i="7"/>
  <c r="D31" i="2"/>
  <c r="C144" i="5"/>
  <c r="D144" i="5"/>
  <c r="C199" i="5"/>
  <c r="C261" i="5"/>
  <c r="D261" i="5"/>
  <c r="C467" i="5"/>
  <c r="D549" i="5"/>
  <c r="I549" i="5"/>
  <c r="K549" i="5"/>
  <c r="F549" i="5"/>
  <c r="H549" i="5"/>
  <c r="L549" i="5"/>
  <c r="I595" i="5"/>
  <c r="K595" i="5"/>
  <c r="F595" i="5"/>
  <c r="H595" i="5"/>
  <c r="L595" i="5"/>
  <c r="F648" i="5"/>
  <c r="G648" i="5"/>
  <c r="H648" i="5"/>
  <c r="C834" i="5"/>
  <c r="D834" i="5"/>
  <c r="E834" i="5"/>
  <c r="AD8" i="4"/>
  <c r="AD9" i="4"/>
  <c r="AD13" i="4"/>
  <c r="AD14" i="4"/>
  <c r="AD17" i="4"/>
  <c r="C172" i="6"/>
  <c r="C726" i="5"/>
  <c r="D726" i="5"/>
  <c r="E726" i="5"/>
  <c r="F726" i="5"/>
  <c r="A725" i="5"/>
  <c r="G726" i="5"/>
  <c r="C783" i="5"/>
  <c r="A782" i="5"/>
  <c r="D783" i="5"/>
  <c r="D120" i="6"/>
  <c r="E120" i="6"/>
  <c r="F120" i="6"/>
  <c r="AB32" i="2"/>
  <c r="D172" i="6"/>
  <c r="E172" i="6"/>
  <c r="G172" i="6"/>
  <c r="H172" i="6"/>
  <c r="I172" i="6"/>
  <c r="J172" i="6"/>
  <c r="K172" i="6"/>
  <c r="L172" i="6"/>
  <c r="M172" i="6"/>
  <c r="N172" i="6"/>
  <c r="O172" i="6"/>
  <c r="P172" i="6"/>
  <c r="AE32" i="2"/>
  <c r="C48" i="7"/>
  <c r="D48" i="7"/>
  <c r="E48" i="7"/>
  <c r="D32" i="2"/>
  <c r="C145" i="5"/>
  <c r="D145" i="5"/>
  <c r="C200" i="5"/>
  <c r="C262" i="5"/>
  <c r="D262" i="5"/>
  <c r="C468" i="5"/>
  <c r="D550" i="5"/>
  <c r="I550" i="5"/>
  <c r="K550" i="5"/>
  <c r="F550" i="5"/>
  <c r="H550" i="5"/>
  <c r="L550" i="5"/>
  <c r="I596" i="5"/>
  <c r="K596" i="5"/>
  <c r="F596" i="5"/>
  <c r="H596" i="5"/>
  <c r="L596" i="5"/>
  <c r="F649" i="5"/>
  <c r="G649" i="5"/>
  <c r="H649" i="5"/>
  <c r="C835" i="5"/>
  <c r="D835" i="5"/>
  <c r="E835" i="5"/>
  <c r="AE8" i="4"/>
  <c r="AE9" i="4"/>
  <c r="AE13" i="4"/>
  <c r="AE14" i="4"/>
  <c r="AE17" i="4"/>
  <c r="C173" i="6"/>
  <c r="C727" i="5"/>
  <c r="D727" i="5"/>
  <c r="E727" i="5"/>
  <c r="F727" i="5"/>
  <c r="A726" i="5"/>
  <c r="G727" i="5"/>
  <c r="C784" i="5"/>
  <c r="A783" i="5"/>
  <c r="D784" i="5"/>
  <c r="D121" i="6"/>
  <c r="E121" i="6"/>
  <c r="F121" i="6"/>
  <c r="AB33" i="2"/>
  <c r="D173" i="6"/>
  <c r="E173" i="6"/>
  <c r="G173" i="6"/>
  <c r="H173" i="6"/>
  <c r="I173" i="6"/>
  <c r="J173" i="6"/>
  <c r="K173" i="6"/>
  <c r="L173" i="6"/>
  <c r="M173" i="6"/>
  <c r="N173" i="6"/>
  <c r="O173" i="6"/>
  <c r="P173" i="6"/>
  <c r="AE33" i="2"/>
  <c r="C49" i="7"/>
  <c r="D49" i="7"/>
  <c r="E49" i="7"/>
  <c r="D33" i="2"/>
  <c r="C146" i="5"/>
  <c r="D146" i="5"/>
  <c r="C201" i="5"/>
  <c r="C263" i="5"/>
  <c r="D263" i="5"/>
  <c r="C469" i="5"/>
  <c r="D551" i="5"/>
  <c r="I551" i="5"/>
  <c r="K551" i="5"/>
  <c r="F551" i="5"/>
  <c r="H551" i="5"/>
  <c r="L551" i="5"/>
  <c r="I597" i="5"/>
  <c r="K597" i="5"/>
  <c r="F597" i="5"/>
  <c r="H597" i="5"/>
  <c r="L597" i="5"/>
  <c r="F650" i="5"/>
  <c r="G650" i="5"/>
  <c r="H650" i="5"/>
  <c r="C836" i="5"/>
  <c r="D836" i="5"/>
  <c r="E836" i="5"/>
  <c r="AF8" i="4"/>
  <c r="AF9" i="4"/>
  <c r="AF13" i="4"/>
  <c r="AF14" i="4"/>
  <c r="AF17" i="4"/>
  <c r="C174" i="6"/>
  <c r="C728" i="5"/>
  <c r="D728" i="5"/>
  <c r="E728" i="5"/>
  <c r="F728" i="5"/>
  <c r="A727" i="5"/>
  <c r="G728" i="5"/>
  <c r="C785" i="5"/>
  <c r="A784" i="5"/>
  <c r="D785" i="5"/>
  <c r="D122" i="6"/>
  <c r="E122" i="6"/>
  <c r="F122" i="6"/>
  <c r="AB34" i="2"/>
  <c r="D174" i="6"/>
  <c r="E174" i="6"/>
  <c r="G174" i="6"/>
  <c r="H174" i="6"/>
  <c r="I174" i="6"/>
  <c r="J174" i="6"/>
  <c r="K174" i="6"/>
  <c r="L174" i="6"/>
  <c r="M174" i="6"/>
  <c r="N174" i="6"/>
  <c r="O174" i="6"/>
  <c r="P174" i="6"/>
  <c r="AE34" i="2"/>
  <c r="C50" i="7"/>
  <c r="D50" i="7"/>
  <c r="E50" i="7"/>
  <c r="D34" i="2"/>
  <c r="C147" i="5"/>
  <c r="D147" i="5"/>
  <c r="C202" i="5"/>
  <c r="C264" i="5"/>
  <c r="D264" i="5"/>
  <c r="C470" i="5"/>
  <c r="D552" i="5"/>
  <c r="I552" i="5"/>
  <c r="K552" i="5"/>
  <c r="F552" i="5"/>
  <c r="H552" i="5"/>
  <c r="L552" i="5"/>
  <c r="I598" i="5"/>
  <c r="K598" i="5"/>
  <c r="F598" i="5"/>
  <c r="H598" i="5"/>
  <c r="L598" i="5"/>
  <c r="F651" i="5"/>
  <c r="G651" i="5"/>
  <c r="H651" i="5"/>
  <c r="C837" i="5"/>
  <c r="D837" i="5"/>
  <c r="E837" i="5"/>
  <c r="AG8" i="4"/>
  <c r="AG9" i="4"/>
  <c r="AG13" i="4"/>
  <c r="AG14" i="4"/>
  <c r="AG17" i="4"/>
  <c r="C175" i="6"/>
  <c r="C729" i="5"/>
  <c r="D729" i="5"/>
  <c r="E729" i="5"/>
  <c r="F729" i="5"/>
  <c r="A728" i="5"/>
  <c r="G729" i="5"/>
  <c r="C786" i="5"/>
  <c r="A785" i="5"/>
  <c r="D786" i="5"/>
  <c r="D123" i="6"/>
  <c r="E123" i="6"/>
  <c r="F123" i="6"/>
  <c r="AB35" i="2"/>
  <c r="D175" i="6"/>
  <c r="E175" i="6"/>
  <c r="G175" i="6"/>
  <c r="H175" i="6"/>
  <c r="I175" i="6"/>
  <c r="J175" i="6"/>
  <c r="K175" i="6"/>
  <c r="L175" i="6"/>
  <c r="M175" i="6"/>
  <c r="N175" i="6"/>
  <c r="O175" i="6"/>
  <c r="P175" i="6"/>
  <c r="AE35" i="2"/>
  <c r="C51" i="7"/>
  <c r="D51" i="7"/>
  <c r="E51" i="7"/>
  <c r="D35" i="2"/>
  <c r="C148" i="5"/>
  <c r="D148" i="5"/>
  <c r="C203" i="5"/>
  <c r="C265" i="5"/>
  <c r="D265" i="5"/>
  <c r="C471" i="5"/>
  <c r="D553" i="5"/>
  <c r="I553" i="5"/>
  <c r="K553" i="5"/>
  <c r="F553" i="5"/>
  <c r="H553" i="5"/>
  <c r="L553" i="5"/>
  <c r="I599" i="5"/>
  <c r="K599" i="5"/>
  <c r="F599" i="5"/>
  <c r="H599" i="5"/>
  <c r="L599" i="5"/>
  <c r="F652" i="5"/>
  <c r="G652" i="5"/>
  <c r="H652" i="5"/>
  <c r="C838" i="5"/>
  <c r="D838" i="5"/>
  <c r="E838" i="5"/>
  <c r="AH8" i="4"/>
  <c r="AH9" i="4"/>
  <c r="AH13" i="4"/>
  <c r="AH14" i="4"/>
  <c r="AH17" i="4"/>
  <c r="C176" i="6"/>
  <c r="C730" i="5"/>
  <c r="D730" i="5"/>
  <c r="E730" i="5"/>
  <c r="F730" i="5"/>
  <c r="A729" i="5"/>
  <c r="G730" i="5"/>
  <c r="C787" i="5"/>
  <c r="A786" i="5"/>
  <c r="D787" i="5"/>
  <c r="D124" i="6"/>
  <c r="E124" i="6"/>
  <c r="F124" i="6"/>
  <c r="AB36" i="2"/>
  <c r="D176" i="6"/>
  <c r="E176" i="6"/>
  <c r="G176" i="6"/>
  <c r="H176" i="6"/>
  <c r="I176" i="6"/>
  <c r="J176" i="6"/>
  <c r="K176" i="6"/>
  <c r="L176" i="6"/>
  <c r="M176" i="6"/>
  <c r="N176" i="6"/>
  <c r="O176" i="6"/>
  <c r="P176" i="6"/>
  <c r="AE36" i="2"/>
  <c r="C52" i="7"/>
  <c r="D52" i="7"/>
  <c r="E52" i="7"/>
  <c r="D36" i="2"/>
  <c r="C149" i="5"/>
  <c r="D149" i="5"/>
  <c r="C204" i="5"/>
  <c r="C266" i="5"/>
  <c r="D266" i="5"/>
  <c r="C472" i="5"/>
  <c r="D554" i="5"/>
  <c r="I554" i="5"/>
  <c r="K554" i="5"/>
  <c r="F554" i="5"/>
  <c r="H554" i="5"/>
  <c r="L554" i="5"/>
  <c r="I600" i="5"/>
  <c r="K600" i="5"/>
  <c r="F600" i="5"/>
  <c r="H600" i="5"/>
  <c r="L600" i="5"/>
  <c r="F653" i="5"/>
  <c r="G653" i="5"/>
  <c r="H653" i="5"/>
  <c r="C839" i="5"/>
  <c r="D839" i="5"/>
  <c r="E839" i="5"/>
  <c r="AI8" i="4"/>
  <c r="AI9" i="4"/>
  <c r="AI13" i="4"/>
  <c r="AI14" i="4"/>
  <c r="AI17" i="4"/>
  <c r="C177" i="6"/>
  <c r="C731" i="5"/>
  <c r="D731" i="5"/>
  <c r="E731" i="5"/>
  <c r="F731" i="5"/>
  <c r="A730" i="5"/>
  <c r="G731" i="5"/>
  <c r="C788" i="5"/>
  <c r="A787" i="5"/>
  <c r="D788" i="5"/>
  <c r="D125" i="6"/>
  <c r="E125" i="6"/>
  <c r="F125" i="6"/>
  <c r="AB37" i="2"/>
  <c r="D177" i="6"/>
  <c r="E177" i="6"/>
  <c r="G177" i="6"/>
  <c r="H177" i="6"/>
  <c r="I177" i="6"/>
  <c r="J177" i="6"/>
  <c r="K177" i="6"/>
  <c r="L177" i="6"/>
  <c r="M177" i="6"/>
  <c r="N177" i="6"/>
  <c r="O177" i="6"/>
  <c r="P177" i="6"/>
  <c r="AE37" i="2"/>
  <c r="C53" i="7"/>
  <c r="D53" i="7"/>
  <c r="E53" i="7"/>
  <c r="D37" i="2"/>
  <c r="C150" i="5"/>
  <c r="D150" i="5"/>
  <c r="C205" i="5"/>
  <c r="C267" i="5"/>
  <c r="D267" i="5"/>
  <c r="C473" i="5"/>
  <c r="D555" i="5"/>
  <c r="I555" i="5"/>
  <c r="K555" i="5"/>
  <c r="F555" i="5"/>
  <c r="H555" i="5"/>
  <c r="L555" i="5"/>
  <c r="I601" i="5"/>
  <c r="K601" i="5"/>
  <c r="F601" i="5"/>
  <c r="H601" i="5"/>
  <c r="L601" i="5"/>
  <c r="F654" i="5"/>
  <c r="G654" i="5"/>
  <c r="H654" i="5"/>
  <c r="C840" i="5"/>
  <c r="D840" i="5"/>
  <c r="E840" i="5"/>
  <c r="AJ8" i="4"/>
  <c r="AJ9" i="4"/>
  <c r="AJ13" i="4"/>
  <c r="AJ14" i="4"/>
  <c r="AJ17" i="4"/>
  <c r="C178" i="6"/>
  <c r="C732" i="5"/>
  <c r="D732" i="5"/>
  <c r="E732" i="5"/>
  <c r="F732" i="5"/>
  <c r="A731" i="5"/>
  <c r="G732" i="5"/>
  <c r="C789" i="5"/>
  <c r="A788" i="5"/>
  <c r="D789" i="5"/>
  <c r="D126" i="6"/>
  <c r="E126" i="6"/>
  <c r="F126" i="6"/>
  <c r="AB38" i="2"/>
  <c r="D178" i="6"/>
  <c r="E178" i="6"/>
  <c r="G178" i="6"/>
  <c r="H178" i="6"/>
  <c r="I178" i="6"/>
  <c r="J178" i="6"/>
  <c r="K178" i="6"/>
  <c r="L178" i="6"/>
  <c r="M178" i="6"/>
  <c r="N178" i="6"/>
  <c r="O178" i="6"/>
  <c r="P178" i="6"/>
  <c r="AE38" i="2"/>
  <c r="C54" i="7"/>
  <c r="D54" i="7"/>
  <c r="E54" i="7"/>
  <c r="D38" i="2"/>
  <c r="C151" i="5"/>
  <c r="D151" i="5"/>
  <c r="C206" i="5"/>
  <c r="C268" i="5"/>
  <c r="D268" i="5"/>
  <c r="C474" i="5"/>
  <c r="D556" i="5"/>
  <c r="I556" i="5"/>
  <c r="K556" i="5"/>
  <c r="F556" i="5"/>
  <c r="H556" i="5"/>
  <c r="L556" i="5"/>
  <c r="I602" i="5"/>
  <c r="K602" i="5"/>
  <c r="F602" i="5"/>
  <c r="H602" i="5"/>
  <c r="L602" i="5"/>
  <c r="F655" i="5"/>
  <c r="G655" i="5"/>
  <c r="H655" i="5"/>
  <c r="C841" i="5"/>
  <c r="D841" i="5"/>
  <c r="E841" i="5"/>
  <c r="AK8" i="4"/>
  <c r="AK9" i="4"/>
  <c r="AK13" i="4"/>
  <c r="AK14" i="4"/>
  <c r="AK17" i="4"/>
  <c r="C179" i="6"/>
  <c r="C733" i="5"/>
  <c r="D733" i="5"/>
  <c r="E733" i="5"/>
  <c r="F733" i="5"/>
  <c r="A732" i="5"/>
  <c r="G733" i="5"/>
  <c r="C790" i="5"/>
  <c r="A789" i="5"/>
  <c r="D790" i="5"/>
  <c r="D127" i="6"/>
  <c r="E127" i="6"/>
  <c r="F127" i="6"/>
  <c r="AB39" i="2"/>
  <c r="D179" i="6"/>
  <c r="E179" i="6"/>
  <c r="G179" i="6"/>
  <c r="H179" i="6"/>
  <c r="I179" i="6"/>
  <c r="J179" i="6"/>
  <c r="K179" i="6"/>
  <c r="L179" i="6"/>
  <c r="M179" i="6"/>
  <c r="N179" i="6"/>
  <c r="O179" i="6"/>
  <c r="P179" i="6"/>
  <c r="AE39" i="2"/>
  <c r="C55" i="7"/>
  <c r="D55" i="7"/>
  <c r="E55" i="7"/>
  <c r="D39" i="2"/>
  <c r="C152" i="5"/>
  <c r="D152" i="5"/>
  <c r="C207" i="5"/>
  <c r="C269" i="5"/>
  <c r="D269" i="5"/>
  <c r="C475" i="5"/>
  <c r="D557" i="5"/>
  <c r="I557" i="5"/>
  <c r="K557" i="5"/>
  <c r="F557" i="5"/>
  <c r="H557" i="5"/>
  <c r="L557" i="5"/>
  <c r="I603" i="5"/>
  <c r="K603" i="5"/>
  <c r="F603" i="5"/>
  <c r="H603" i="5"/>
  <c r="L603" i="5"/>
  <c r="F656" i="5"/>
  <c r="G656" i="5"/>
  <c r="H656" i="5"/>
  <c r="C842" i="5"/>
  <c r="D842" i="5"/>
  <c r="E842" i="5"/>
  <c r="AL8" i="4"/>
  <c r="AL9" i="4"/>
  <c r="AL13" i="4"/>
  <c r="AL14" i="4"/>
  <c r="AL17" i="4"/>
  <c r="C180" i="6"/>
  <c r="C734" i="5"/>
  <c r="D734" i="5"/>
  <c r="E734" i="5"/>
  <c r="F734" i="5"/>
  <c r="A733" i="5"/>
  <c r="G734" i="5"/>
  <c r="C791" i="5"/>
  <c r="A790" i="5"/>
  <c r="D791" i="5"/>
  <c r="D128" i="6"/>
  <c r="E128" i="6"/>
  <c r="F128" i="6"/>
  <c r="AB40" i="2"/>
  <c r="D180" i="6"/>
  <c r="E180" i="6"/>
  <c r="G180" i="6"/>
  <c r="H180" i="6"/>
  <c r="I180" i="6"/>
  <c r="J180" i="6"/>
  <c r="K180" i="6"/>
  <c r="L180" i="6"/>
  <c r="M180" i="6"/>
  <c r="N180" i="6"/>
  <c r="O180" i="6"/>
  <c r="P180" i="6"/>
  <c r="AE40" i="2"/>
  <c r="C56" i="7"/>
  <c r="D56" i="7"/>
  <c r="E56" i="7"/>
  <c r="D40" i="2"/>
  <c r="C153" i="5"/>
  <c r="D153" i="5"/>
  <c r="C208" i="5"/>
  <c r="C270" i="5"/>
  <c r="D270" i="5"/>
  <c r="C476" i="5"/>
  <c r="D558" i="5"/>
  <c r="I558" i="5"/>
  <c r="K558" i="5"/>
  <c r="F558" i="5"/>
  <c r="H558" i="5"/>
  <c r="L558" i="5"/>
  <c r="I604" i="5"/>
  <c r="K604" i="5"/>
  <c r="F604" i="5"/>
  <c r="H604" i="5"/>
  <c r="L604" i="5"/>
  <c r="F657" i="5"/>
  <c r="G657" i="5"/>
  <c r="H657" i="5"/>
  <c r="C843" i="5"/>
  <c r="D843" i="5"/>
  <c r="E843" i="5"/>
  <c r="AM8" i="4"/>
  <c r="AM9" i="4"/>
  <c r="AM13" i="4"/>
  <c r="AM14" i="4"/>
  <c r="AM17" i="4"/>
  <c r="C181" i="6"/>
  <c r="C735" i="5"/>
  <c r="D735" i="5"/>
  <c r="E735" i="5"/>
  <c r="F735" i="5"/>
  <c r="A734" i="5"/>
  <c r="G735" i="5"/>
  <c r="C792" i="5"/>
  <c r="A791" i="5"/>
  <c r="D792" i="5"/>
  <c r="D129" i="6"/>
  <c r="E129" i="6"/>
  <c r="F129" i="6"/>
  <c r="AB41" i="2"/>
  <c r="D181" i="6"/>
  <c r="E181" i="6"/>
  <c r="G181" i="6"/>
  <c r="H181" i="6"/>
  <c r="I181" i="6"/>
  <c r="J181" i="6"/>
  <c r="K181" i="6"/>
  <c r="L181" i="6"/>
  <c r="M181" i="6"/>
  <c r="N181" i="6"/>
  <c r="O181" i="6"/>
  <c r="P181" i="6"/>
  <c r="AE41" i="2"/>
  <c r="C57" i="7"/>
  <c r="D57" i="7"/>
  <c r="E57" i="7"/>
  <c r="D41" i="2"/>
  <c r="C154" i="5"/>
  <c r="D154" i="5"/>
  <c r="C209" i="5"/>
  <c r="C271" i="5"/>
  <c r="D271" i="5"/>
  <c r="C477" i="5"/>
  <c r="D559" i="5"/>
  <c r="I559" i="5"/>
  <c r="K559" i="5"/>
  <c r="F559" i="5"/>
  <c r="H559" i="5"/>
  <c r="L559" i="5"/>
  <c r="I605" i="5"/>
  <c r="K605" i="5"/>
  <c r="F605" i="5"/>
  <c r="H605" i="5"/>
  <c r="L605" i="5"/>
  <c r="F658" i="5"/>
  <c r="G658" i="5"/>
  <c r="H658" i="5"/>
  <c r="C844" i="5"/>
  <c r="D844" i="5"/>
  <c r="E844" i="5"/>
  <c r="AN8" i="4"/>
  <c r="AN9" i="4"/>
  <c r="AN13" i="4"/>
  <c r="AN14" i="4"/>
  <c r="AN17" i="4"/>
  <c r="C182" i="6"/>
  <c r="C736" i="5"/>
  <c r="D736" i="5"/>
  <c r="E736" i="5"/>
  <c r="F736" i="5"/>
  <c r="A735" i="5"/>
  <c r="G736" i="5"/>
  <c r="C793" i="5"/>
  <c r="A792" i="5"/>
  <c r="D793" i="5"/>
  <c r="D130" i="6"/>
  <c r="E130" i="6"/>
  <c r="F130" i="6"/>
  <c r="AB42" i="2"/>
  <c r="D182" i="6"/>
  <c r="E182" i="6"/>
  <c r="G182" i="6"/>
  <c r="H182" i="6"/>
  <c r="I182" i="6"/>
  <c r="J182" i="6"/>
  <c r="K182" i="6"/>
  <c r="L182" i="6"/>
  <c r="M182" i="6"/>
  <c r="N182" i="6"/>
  <c r="O182" i="6"/>
  <c r="P182" i="6"/>
  <c r="AE42" i="2"/>
  <c r="C58" i="7"/>
  <c r="D58" i="7"/>
  <c r="E58" i="7"/>
  <c r="D42" i="2"/>
  <c r="C155" i="5"/>
  <c r="D155" i="5"/>
  <c r="C210" i="5"/>
  <c r="C272" i="5"/>
  <c r="D272" i="5"/>
  <c r="C478" i="5"/>
  <c r="D560" i="5"/>
  <c r="I560" i="5"/>
  <c r="K560" i="5"/>
  <c r="F560" i="5"/>
  <c r="H560" i="5"/>
  <c r="L560" i="5"/>
  <c r="I606" i="5"/>
  <c r="K606" i="5"/>
  <c r="F606" i="5"/>
  <c r="H606" i="5"/>
  <c r="L606" i="5"/>
  <c r="F659" i="5"/>
  <c r="G659" i="5"/>
  <c r="H659" i="5"/>
  <c r="C845" i="5"/>
  <c r="D845" i="5"/>
  <c r="E845" i="5"/>
  <c r="AO8" i="4"/>
  <c r="AO9" i="4"/>
  <c r="AO13" i="4"/>
  <c r="AO14" i="4"/>
  <c r="AO17" i="4"/>
  <c r="C183" i="6"/>
  <c r="C737" i="5"/>
  <c r="D737" i="5"/>
  <c r="E737" i="5"/>
  <c r="F737" i="5"/>
  <c r="A736" i="5"/>
  <c r="G737" i="5"/>
  <c r="C794" i="5"/>
  <c r="A793" i="5"/>
  <c r="D794" i="5"/>
  <c r="B802" i="5"/>
  <c r="D131" i="6"/>
  <c r="E131" i="6"/>
  <c r="F131" i="6"/>
  <c r="AB43" i="2"/>
  <c r="D183" i="6"/>
  <c r="E183" i="6"/>
  <c r="G183" i="6"/>
  <c r="H183" i="6"/>
  <c r="I183" i="6"/>
  <c r="J183" i="6"/>
  <c r="K183" i="6"/>
  <c r="L183" i="6"/>
  <c r="M183" i="6"/>
  <c r="N183" i="6"/>
  <c r="O183" i="6"/>
  <c r="P183" i="6"/>
  <c r="AE43" i="2"/>
  <c r="C59" i="7"/>
  <c r="D59" i="7"/>
  <c r="E59" i="7"/>
  <c r="D43" i="2"/>
  <c r="I521" i="5"/>
  <c r="K521" i="5"/>
  <c r="F521" i="5"/>
  <c r="H521" i="5"/>
  <c r="L521" i="5"/>
  <c r="I522" i="5"/>
  <c r="K522" i="5"/>
  <c r="F522" i="5"/>
  <c r="H522" i="5"/>
  <c r="L522" i="5"/>
  <c r="I567" i="5"/>
  <c r="K567" i="5"/>
  <c r="F567" i="5"/>
  <c r="H567" i="5"/>
  <c r="L567" i="5"/>
  <c r="I568" i="5"/>
  <c r="K568" i="5"/>
  <c r="F568" i="5"/>
  <c r="H568" i="5"/>
  <c r="L568" i="5"/>
  <c r="F620" i="5"/>
  <c r="G620" i="5"/>
  <c r="F621" i="5"/>
  <c r="G621" i="5"/>
  <c r="H620" i="5"/>
  <c r="H621" i="5"/>
  <c r="E806" i="5"/>
  <c r="E807" i="5"/>
  <c r="G698" i="5"/>
  <c r="G699" i="5"/>
  <c r="B8" i="4"/>
  <c r="B9" i="4"/>
  <c r="B13" i="4"/>
  <c r="C755" i="5"/>
  <c r="D755" i="5"/>
  <c r="C8" i="4"/>
  <c r="C9" i="4"/>
  <c r="C13" i="4"/>
  <c r="C756" i="5"/>
  <c r="D756" i="5"/>
  <c r="C92" i="6"/>
  <c r="F92" i="6"/>
  <c r="D93" i="6"/>
  <c r="F93" i="6"/>
  <c r="D144" i="6"/>
  <c r="E144" i="6"/>
  <c r="G144" i="6"/>
  <c r="D145" i="6"/>
  <c r="E145" i="6"/>
  <c r="G145" i="6"/>
  <c r="AC44" i="2"/>
  <c r="H144" i="6"/>
  <c r="I144" i="6"/>
  <c r="J144" i="6"/>
  <c r="K144" i="6"/>
  <c r="L144" i="6"/>
  <c r="M144" i="6"/>
  <c r="N144" i="6"/>
  <c r="O144" i="6"/>
  <c r="P144" i="6"/>
  <c r="H145" i="6"/>
  <c r="I145" i="6"/>
  <c r="J145" i="6"/>
  <c r="K145" i="6"/>
  <c r="L145" i="6"/>
  <c r="M145" i="6"/>
  <c r="N145" i="6"/>
  <c r="O145" i="6"/>
  <c r="P145" i="6"/>
  <c r="AD44" i="2"/>
  <c r="AE44" i="2"/>
  <c r="C20" i="7"/>
  <c r="E20" i="7"/>
  <c r="C21" i="7"/>
  <c r="E21" i="7"/>
  <c r="D44" i="2"/>
  <c r="D45" i="2"/>
  <c r="D47" i="2"/>
  <c r="V45" i="2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A794" i="5"/>
  <c r="U45" i="2"/>
  <c r="A737" i="5"/>
  <c r="P45" i="2"/>
  <c r="O45" i="2"/>
  <c r="XFD620" i="5"/>
  <c r="A659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S45" i="2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Q45" i="2"/>
  <c r="W45" i="2"/>
  <c r="X45" i="2"/>
  <c r="R45" i="2"/>
  <c r="T45" i="2"/>
  <c r="E45" i="2"/>
  <c r="F45" i="2"/>
  <c r="G45" i="2"/>
  <c r="H45" i="2"/>
  <c r="I45" i="2"/>
  <c r="J45" i="2"/>
  <c r="K45" i="2"/>
  <c r="L45" i="2"/>
  <c r="M45" i="2"/>
  <c r="N45" i="2"/>
  <c r="Y48" i="2"/>
  <c r="B800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L484" i="5"/>
  <c r="E429" i="5"/>
  <c r="F425" i="5"/>
  <c r="E421" i="5"/>
  <c r="E422" i="5"/>
  <c r="E418" i="5"/>
  <c r="G417" i="5"/>
  <c r="E412" i="5"/>
  <c r="E413" i="5"/>
  <c r="F396" i="5"/>
  <c r="E392" i="5"/>
  <c r="E393" i="5"/>
  <c r="F391" i="5"/>
  <c r="E389" i="5"/>
  <c r="G388" i="5"/>
  <c r="F383" i="5"/>
  <c r="E400" i="5"/>
  <c r="E383" i="5"/>
  <c r="E384" i="5"/>
  <c r="H381" i="5"/>
  <c r="D390" i="5"/>
  <c r="F390" i="5"/>
  <c r="F392" i="5"/>
  <c r="C362" i="5"/>
  <c r="D362" i="5"/>
  <c r="F362" i="5"/>
  <c r="F371" i="5"/>
  <c r="F370" i="5"/>
  <c r="F369" i="5"/>
  <c r="F373" i="5"/>
  <c r="F399" i="5"/>
  <c r="F394" i="5"/>
  <c r="D403" i="5"/>
  <c r="E397" i="5"/>
  <c r="D396" i="5"/>
  <c r="D425" i="5"/>
  <c r="E426" i="5"/>
  <c r="H425" i="5"/>
  <c r="H428" i="5"/>
  <c r="F423" i="5"/>
  <c r="D434" i="5"/>
  <c r="F385" i="5"/>
  <c r="D402" i="5"/>
  <c r="H402" i="5"/>
  <c r="D399" i="5"/>
  <c r="F414" i="5"/>
  <c r="D433" i="5"/>
  <c r="H433" i="5"/>
  <c r="C45" i="2"/>
  <c r="B8" i="5"/>
  <c r="B12" i="7"/>
  <c r="E60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34" i="5"/>
  <c r="B33" i="5"/>
  <c r="N561" i="5"/>
  <c r="AB5" i="2"/>
  <c r="AE5" i="2"/>
  <c r="AB4" i="2"/>
  <c r="AE4" i="2"/>
  <c r="A145" i="6"/>
  <c r="X6" i="6"/>
  <c r="X5" i="6"/>
  <c r="X4" i="6"/>
  <c r="X3" i="6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B699" i="5"/>
  <c r="B700" i="5"/>
  <c r="B701" i="5"/>
  <c r="B2" i="3"/>
  <c r="N518" i="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I184" i="6"/>
  <c r="K184" i="6"/>
  <c r="M184" i="6"/>
  <c r="O184" i="6"/>
  <c r="P184" i="6"/>
  <c r="G18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J141" i="6"/>
  <c r="J140" i="6"/>
  <c r="J139" i="6"/>
  <c r="J138" i="6"/>
  <c r="K137" i="6"/>
  <c r="I4" i="6"/>
  <c r="N85" i="6"/>
  <c r="Q133" i="6"/>
  <c r="Q13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89" i="6"/>
  <c r="I6" i="6"/>
  <c r="N87" i="6"/>
  <c r="C5" i="6"/>
  <c r="C87" i="6"/>
  <c r="I5" i="6"/>
  <c r="N86" i="6"/>
  <c r="C6" i="6"/>
  <c r="C86" i="6"/>
  <c r="C4" i="6"/>
  <c r="C85" i="6"/>
  <c r="P79" i="6"/>
  <c r="P78" i="6"/>
  <c r="N38" i="6"/>
  <c r="I38" i="6"/>
  <c r="K38" i="6"/>
  <c r="M38" i="6"/>
  <c r="O38" i="6"/>
  <c r="N39" i="6"/>
  <c r="I39" i="6"/>
  <c r="K39" i="6"/>
  <c r="M39" i="6"/>
  <c r="O39" i="6"/>
  <c r="N40" i="6"/>
  <c r="I40" i="6"/>
  <c r="K40" i="6"/>
  <c r="M40" i="6"/>
  <c r="O40" i="6"/>
  <c r="N41" i="6"/>
  <c r="I41" i="6"/>
  <c r="K41" i="6"/>
  <c r="M41" i="6"/>
  <c r="O41" i="6"/>
  <c r="N42" i="6"/>
  <c r="I42" i="6"/>
  <c r="K42" i="6"/>
  <c r="M42" i="6"/>
  <c r="O42" i="6"/>
  <c r="N43" i="6"/>
  <c r="I43" i="6"/>
  <c r="K43" i="6"/>
  <c r="M43" i="6"/>
  <c r="O43" i="6"/>
  <c r="N44" i="6"/>
  <c r="I44" i="6"/>
  <c r="K44" i="6"/>
  <c r="M44" i="6"/>
  <c r="O44" i="6"/>
  <c r="N45" i="6"/>
  <c r="I45" i="6"/>
  <c r="K45" i="6"/>
  <c r="M45" i="6"/>
  <c r="O45" i="6"/>
  <c r="N46" i="6"/>
  <c r="I46" i="6"/>
  <c r="K46" i="6"/>
  <c r="M46" i="6"/>
  <c r="O46" i="6"/>
  <c r="N47" i="6"/>
  <c r="I47" i="6"/>
  <c r="K47" i="6"/>
  <c r="M47" i="6"/>
  <c r="O47" i="6"/>
  <c r="N48" i="6"/>
  <c r="I48" i="6"/>
  <c r="K48" i="6"/>
  <c r="M48" i="6"/>
  <c r="O48" i="6"/>
  <c r="N49" i="6"/>
  <c r="I49" i="6"/>
  <c r="K49" i="6"/>
  <c r="M49" i="6"/>
  <c r="O49" i="6"/>
  <c r="N50" i="6"/>
  <c r="I50" i="6"/>
  <c r="K50" i="6"/>
  <c r="M50" i="6"/>
  <c r="O50" i="6"/>
  <c r="N51" i="6"/>
  <c r="I51" i="6"/>
  <c r="K51" i="6"/>
  <c r="M51" i="6"/>
  <c r="O51" i="6"/>
  <c r="N52" i="6"/>
  <c r="I52" i="6"/>
  <c r="K52" i="6"/>
  <c r="M52" i="6"/>
  <c r="O52" i="6"/>
  <c r="N53" i="6"/>
  <c r="I53" i="6"/>
  <c r="K53" i="6"/>
  <c r="M53" i="6"/>
  <c r="O53" i="6"/>
  <c r="N54" i="6"/>
  <c r="I54" i="6"/>
  <c r="K54" i="6"/>
  <c r="M54" i="6"/>
  <c r="O54" i="6"/>
  <c r="N55" i="6"/>
  <c r="I55" i="6"/>
  <c r="K55" i="6"/>
  <c r="M55" i="6"/>
  <c r="O55" i="6"/>
  <c r="N56" i="6"/>
  <c r="I56" i="6"/>
  <c r="K56" i="6"/>
  <c r="M56" i="6"/>
  <c r="O56" i="6"/>
  <c r="N57" i="6"/>
  <c r="I57" i="6"/>
  <c r="K57" i="6"/>
  <c r="M57" i="6"/>
  <c r="O57" i="6"/>
  <c r="N58" i="6"/>
  <c r="I58" i="6"/>
  <c r="K58" i="6"/>
  <c r="M58" i="6"/>
  <c r="O58" i="6"/>
  <c r="N59" i="6"/>
  <c r="I59" i="6"/>
  <c r="K59" i="6"/>
  <c r="M59" i="6"/>
  <c r="O59" i="6"/>
  <c r="N60" i="6"/>
  <c r="I60" i="6"/>
  <c r="K60" i="6"/>
  <c r="M60" i="6"/>
  <c r="O60" i="6"/>
  <c r="N61" i="6"/>
  <c r="I61" i="6"/>
  <c r="K61" i="6"/>
  <c r="M61" i="6"/>
  <c r="O61" i="6"/>
  <c r="N62" i="6"/>
  <c r="I62" i="6"/>
  <c r="K62" i="6"/>
  <c r="M62" i="6"/>
  <c r="O62" i="6"/>
  <c r="N63" i="6"/>
  <c r="I63" i="6"/>
  <c r="K63" i="6"/>
  <c r="M63" i="6"/>
  <c r="O63" i="6"/>
  <c r="N64" i="6"/>
  <c r="I64" i="6"/>
  <c r="K64" i="6"/>
  <c r="M64" i="6"/>
  <c r="O64" i="6"/>
  <c r="N65" i="6"/>
  <c r="I65" i="6"/>
  <c r="K65" i="6"/>
  <c r="M65" i="6"/>
  <c r="O65" i="6"/>
  <c r="N66" i="6"/>
  <c r="I66" i="6"/>
  <c r="K66" i="6"/>
  <c r="M66" i="6"/>
  <c r="O66" i="6"/>
  <c r="N67" i="6"/>
  <c r="I67" i="6"/>
  <c r="K67" i="6"/>
  <c r="M67" i="6"/>
  <c r="O67" i="6"/>
  <c r="N68" i="6"/>
  <c r="I68" i="6"/>
  <c r="K68" i="6"/>
  <c r="M68" i="6"/>
  <c r="O68" i="6"/>
  <c r="N69" i="6"/>
  <c r="I69" i="6"/>
  <c r="K69" i="6"/>
  <c r="M69" i="6"/>
  <c r="O69" i="6"/>
  <c r="N70" i="6"/>
  <c r="I70" i="6"/>
  <c r="K70" i="6"/>
  <c r="M70" i="6"/>
  <c r="O70" i="6"/>
  <c r="N71" i="6"/>
  <c r="I71" i="6"/>
  <c r="K71" i="6"/>
  <c r="M71" i="6"/>
  <c r="O71" i="6"/>
  <c r="N72" i="6"/>
  <c r="I72" i="6"/>
  <c r="K72" i="6"/>
  <c r="M72" i="6"/>
  <c r="O72" i="6"/>
  <c r="N73" i="6"/>
  <c r="I73" i="6"/>
  <c r="K73" i="6"/>
  <c r="M73" i="6"/>
  <c r="O73" i="6"/>
  <c r="N74" i="6"/>
  <c r="I74" i="6"/>
  <c r="K74" i="6"/>
  <c r="M74" i="6"/>
  <c r="O74" i="6"/>
  <c r="N75" i="6"/>
  <c r="I75" i="6"/>
  <c r="K75" i="6"/>
  <c r="M75" i="6"/>
  <c r="O75" i="6"/>
  <c r="N76" i="6"/>
  <c r="I76" i="6"/>
  <c r="K76" i="6"/>
  <c r="M76" i="6"/>
  <c r="O76" i="6"/>
  <c r="N77" i="6"/>
  <c r="I77" i="6"/>
  <c r="K77" i="6"/>
  <c r="M77" i="6"/>
  <c r="O77" i="6"/>
  <c r="O78" i="6"/>
  <c r="N78" i="6"/>
  <c r="I78" i="6"/>
  <c r="H78" i="6"/>
  <c r="F77" i="6"/>
  <c r="F7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A35" i="6"/>
  <c r="F10" i="6"/>
  <c r="G10" i="6"/>
  <c r="H10" i="6"/>
  <c r="Q10" i="6"/>
  <c r="P10" i="6"/>
  <c r="R10" i="6"/>
  <c r="F11" i="6"/>
  <c r="G11" i="6"/>
  <c r="H11" i="6"/>
  <c r="Q11" i="6"/>
  <c r="P11" i="6"/>
  <c r="R11" i="6"/>
  <c r="F12" i="6"/>
  <c r="G12" i="6"/>
  <c r="H12" i="6"/>
  <c r="Q12" i="6"/>
  <c r="P12" i="6"/>
  <c r="R12" i="6"/>
  <c r="F13" i="6"/>
  <c r="G13" i="6"/>
  <c r="H13" i="6"/>
  <c r="Q13" i="6"/>
  <c r="P13" i="6"/>
  <c r="R13" i="6"/>
  <c r="F14" i="6"/>
  <c r="G14" i="6"/>
  <c r="H14" i="6"/>
  <c r="Q14" i="6"/>
  <c r="P14" i="6"/>
  <c r="R14" i="6"/>
  <c r="F15" i="6"/>
  <c r="G15" i="6"/>
  <c r="H15" i="6"/>
  <c r="Q15" i="6"/>
  <c r="P15" i="6"/>
  <c r="R15" i="6"/>
  <c r="F16" i="6"/>
  <c r="G16" i="6"/>
  <c r="H16" i="6"/>
  <c r="Q16" i="6"/>
  <c r="P16" i="6"/>
  <c r="R16" i="6"/>
  <c r="F17" i="6"/>
  <c r="G17" i="6"/>
  <c r="H17" i="6"/>
  <c r="Q17" i="6"/>
  <c r="P17" i="6"/>
  <c r="R17" i="6"/>
  <c r="F18" i="6"/>
  <c r="G18" i="6"/>
  <c r="H18" i="6"/>
  <c r="Q18" i="6"/>
  <c r="P18" i="6"/>
  <c r="R18" i="6"/>
  <c r="F19" i="6"/>
  <c r="G19" i="6"/>
  <c r="H19" i="6"/>
  <c r="Q19" i="6"/>
  <c r="P19" i="6"/>
  <c r="R19" i="6"/>
  <c r="F20" i="6"/>
  <c r="G20" i="6"/>
  <c r="H20" i="6"/>
  <c r="Q20" i="6"/>
  <c r="P20" i="6"/>
  <c r="R20" i="6"/>
  <c r="F21" i="6"/>
  <c r="G21" i="6"/>
  <c r="H21" i="6"/>
  <c r="Q21" i="6"/>
  <c r="P21" i="6"/>
  <c r="R21" i="6"/>
  <c r="F22" i="6"/>
  <c r="G22" i="6"/>
  <c r="H22" i="6"/>
  <c r="Q22" i="6"/>
  <c r="P22" i="6"/>
  <c r="R22" i="6"/>
  <c r="F23" i="6"/>
  <c r="G23" i="6"/>
  <c r="H23" i="6"/>
  <c r="Q23" i="6"/>
  <c r="P23" i="6"/>
  <c r="R23" i="6"/>
  <c r="F24" i="6"/>
  <c r="G24" i="6"/>
  <c r="H24" i="6"/>
  <c r="Q24" i="6"/>
  <c r="P24" i="6"/>
  <c r="R24" i="6"/>
  <c r="F25" i="6"/>
  <c r="G25" i="6"/>
  <c r="H25" i="6"/>
  <c r="Q25" i="6"/>
  <c r="P25" i="6"/>
  <c r="R25" i="6"/>
  <c r="F26" i="6"/>
  <c r="G26" i="6"/>
  <c r="H26" i="6"/>
  <c r="Q26" i="6"/>
  <c r="P26" i="6"/>
  <c r="R26" i="6"/>
  <c r="F27" i="6"/>
  <c r="G27" i="6"/>
  <c r="H27" i="6"/>
  <c r="Q27" i="6"/>
  <c r="P27" i="6"/>
  <c r="R27" i="6"/>
  <c r="F28" i="6"/>
  <c r="G28" i="6"/>
  <c r="H28" i="6"/>
  <c r="Q28" i="6"/>
  <c r="P28" i="6"/>
  <c r="R28" i="6"/>
  <c r="F29" i="6"/>
  <c r="G29" i="6"/>
  <c r="H29" i="6"/>
  <c r="Q29" i="6"/>
  <c r="P29" i="6"/>
  <c r="R29" i="6"/>
  <c r="F30" i="6"/>
  <c r="G30" i="6"/>
  <c r="H30" i="6"/>
  <c r="Q30" i="6"/>
  <c r="P30" i="6"/>
  <c r="R30" i="6"/>
  <c r="F31" i="6"/>
  <c r="G31" i="6"/>
  <c r="H31" i="6"/>
  <c r="Q31" i="6"/>
  <c r="P31" i="6"/>
  <c r="R31" i="6"/>
  <c r="F32" i="6"/>
  <c r="G32" i="6"/>
  <c r="H32" i="6"/>
  <c r="Q32" i="6"/>
  <c r="P32" i="6"/>
  <c r="R32" i="6"/>
  <c r="R33" i="6"/>
  <c r="H33" i="6"/>
  <c r="Q33" i="6"/>
  <c r="P33" i="6"/>
  <c r="N10" i="6"/>
  <c r="I10" i="6"/>
  <c r="O10" i="6"/>
  <c r="N11" i="6"/>
  <c r="I11" i="6"/>
  <c r="O11" i="6"/>
  <c r="N12" i="6"/>
  <c r="I12" i="6"/>
  <c r="O12" i="6"/>
  <c r="N13" i="6"/>
  <c r="I13" i="6"/>
  <c r="O13" i="6"/>
  <c r="N14" i="6"/>
  <c r="I14" i="6"/>
  <c r="O14" i="6"/>
  <c r="N15" i="6"/>
  <c r="I15" i="6"/>
  <c r="O15" i="6"/>
  <c r="N16" i="6"/>
  <c r="I16" i="6"/>
  <c r="O16" i="6"/>
  <c r="N17" i="6"/>
  <c r="I17" i="6"/>
  <c r="O17" i="6"/>
  <c r="N18" i="6"/>
  <c r="I18" i="6"/>
  <c r="O18" i="6"/>
  <c r="N19" i="6"/>
  <c r="I19" i="6"/>
  <c r="O19" i="6"/>
  <c r="N20" i="6"/>
  <c r="I20" i="6"/>
  <c r="O20" i="6"/>
  <c r="N21" i="6"/>
  <c r="I21" i="6"/>
  <c r="O21" i="6"/>
  <c r="N22" i="6"/>
  <c r="I22" i="6"/>
  <c r="O22" i="6"/>
  <c r="N23" i="6"/>
  <c r="I23" i="6"/>
  <c r="O23" i="6"/>
  <c r="N24" i="6"/>
  <c r="I24" i="6"/>
  <c r="O24" i="6"/>
  <c r="N25" i="6"/>
  <c r="I25" i="6"/>
  <c r="O25" i="6"/>
  <c r="N26" i="6"/>
  <c r="I26" i="6"/>
  <c r="O26" i="6"/>
  <c r="N27" i="6"/>
  <c r="I27" i="6"/>
  <c r="O27" i="6"/>
  <c r="N28" i="6"/>
  <c r="I28" i="6"/>
  <c r="O28" i="6"/>
  <c r="N29" i="6"/>
  <c r="I29" i="6"/>
  <c r="O29" i="6"/>
  <c r="N30" i="6"/>
  <c r="I30" i="6"/>
  <c r="O30" i="6"/>
  <c r="N31" i="6"/>
  <c r="I31" i="6"/>
  <c r="O31" i="6"/>
  <c r="N32" i="6"/>
  <c r="I32" i="6"/>
  <c r="O32" i="6"/>
  <c r="O33" i="6"/>
  <c r="N33" i="6"/>
  <c r="I33" i="6"/>
  <c r="F33" i="6"/>
  <c r="AQ8" i="4"/>
  <c r="AQ9" i="4"/>
  <c r="AQ13" i="4"/>
  <c r="AQ14" i="4"/>
  <c r="AQ17" i="4"/>
  <c r="AP8" i="4"/>
  <c r="AP9" i="4"/>
  <c r="AP13" i="4"/>
  <c r="AP14" i="4"/>
  <c r="AP17" i="4"/>
  <c r="E14" i="4"/>
  <c r="E17" i="4"/>
  <c r="D14" i="4"/>
  <c r="D17" i="4"/>
  <c r="C14" i="4"/>
  <c r="C17" i="4"/>
  <c r="AO11" i="4"/>
  <c r="AP11" i="4"/>
  <c r="AQ11" i="4"/>
  <c r="B14" i="4"/>
  <c r="AQ10" i="4"/>
  <c r="B10" i="4"/>
  <c r="AR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J521" i="5"/>
  <c r="G521" i="5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C514" i="5"/>
  <c r="E101" i="5"/>
  <c r="D4" i="10"/>
  <c r="D3" i="10"/>
  <c r="C4" i="10"/>
  <c r="C3" i="10"/>
  <c r="AT45" i="4"/>
  <c r="AT43" i="4"/>
  <c r="AT44" i="4"/>
  <c r="AT46" i="4"/>
  <c r="AS43" i="4"/>
  <c r="AR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J669" i="5"/>
  <c r="B218" i="5"/>
  <c r="D38" i="5"/>
  <c r="A27" i="5"/>
  <c r="B35" i="5"/>
  <c r="D39" i="5"/>
  <c r="C25" i="4"/>
  <c r="F45" i="4"/>
  <c r="H45" i="4"/>
  <c r="J45" i="4"/>
  <c r="L45" i="4"/>
  <c r="N45" i="4"/>
  <c r="P45" i="4"/>
  <c r="R45" i="4"/>
  <c r="T45" i="4"/>
  <c r="T25" i="4"/>
  <c r="G45" i="4"/>
  <c r="I45" i="4"/>
  <c r="K45" i="4"/>
  <c r="M45" i="4"/>
  <c r="O45" i="4"/>
  <c r="Q45" i="4"/>
  <c r="S45" i="4"/>
  <c r="AS45" i="4"/>
  <c r="AR45" i="4"/>
  <c r="C44" i="2"/>
  <c r="W44" i="4"/>
  <c r="AS44" i="4"/>
  <c r="AS46" i="4"/>
  <c r="AR44" i="4"/>
  <c r="AR46" i="4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E11" i="7"/>
  <c r="E10" i="7"/>
  <c r="E9" i="7"/>
  <c r="E8" i="7"/>
  <c r="E6" i="7"/>
  <c r="E7" i="7"/>
  <c r="E5" i="7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U43" i="4"/>
  <c r="Q34" i="4"/>
  <c r="V43" i="4"/>
  <c r="U45" i="4"/>
  <c r="W43" i="4"/>
  <c r="V45" i="4"/>
  <c r="X43" i="4"/>
  <c r="F44" i="4"/>
  <c r="F46" i="4"/>
  <c r="W45" i="4"/>
  <c r="W46" i="4"/>
  <c r="Y43" i="4"/>
  <c r="X45" i="4"/>
  <c r="G44" i="4"/>
  <c r="G46" i="4"/>
  <c r="Z43" i="4"/>
  <c r="Y45" i="4"/>
  <c r="H44" i="4"/>
  <c r="H46" i="4"/>
  <c r="AA43" i="4"/>
  <c r="Z45" i="4"/>
  <c r="I44" i="4"/>
  <c r="I46" i="4"/>
  <c r="AB43" i="4"/>
  <c r="AA45" i="4"/>
  <c r="J44" i="4"/>
  <c r="J46" i="4"/>
  <c r="AC43" i="4"/>
  <c r="AB45" i="4"/>
  <c r="K44" i="4"/>
  <c r="K46" i="4"/>
  <c r="AD43" i="4"/>
  <c r="AC45" i="4"/>
  <c r="L44" i="4"/>
  <c r="L46" i="4"/>
  <c r="AE43" i="4"/>
  <c r="AD45" i="4"/>
  <c r="M44" i="4"/>
  <c r="M46" i="4"/>
  <c r="AF43" i="4"/>
  <c r="AE45" i="4"/>
  <c r="N44" i="4"/>
  <c r="N46" i="4"/>
  <c r="AG43" i="4"/>
  <c r="AF45" i="4"/>
  <c r="O44" i="4"/>
  <c r="O46" i="4"/>
  <c r="AH43" i="4"/>
  <c r="AG45" i="4"/>
  <c r="P44" i="4"/>
  <c r="P46" i="4"/>
  <c r="AI43" i="4"/>
  <c r="AH45" i="4"/>
  <c r="Q44" i="4"/>
  <c r="Q46" i="4"/>
  <c r="AJ43" i="4"/>
  <c r="AI45" i="4"/>
  <c r="R44" i="4"/>
  <c r="R46" i="4"/>
  <c r="AK43" i="4"/>
  <c r="AJ45" i="4"/>
  <c r="S44" i="4"/>
  <c r="S46" i="4"/>
  <c r="AL43" i="4"/>
  <c r="AK45" i="4"/>
  <c r="T44" i="4"/>
  <c r="T46" i="4"/>
  <c r="T23" i="4"/>
  <c r="T26" i="4"/>
  <c r="AM43" i="4"/>
  <c r="AL45" i="4"/>
  <c r="U44" i="4"/>
  <c r="U46" i="4"/>
  <c r="AN43" i="4"/>
  <c r="AM45" i="4"/>
  <c r="V44" i="4"/>
  <c r="V46" i="4"/>
  <c r="AO43" i="4"/>
  <c r="AN45" i="4"/>
  <c r="AP43" i="4"/>
  <c r="AO45" i="4"/>
  <c r="X44" i="4"/>
  <c r="X46" i="4"/>
  <c r="AP45" i="4"/>
  <c r="AQ45" i="4"/>
  <c r="AQ43" i="4"/>
  <c r="Y44" i="4"/>
  <c r="Y46" i="4"/>
  <c r="Z44" i="4"/>
  <c r="Z46" i="4"/>
  <c r="AA44" i="4"/>
  <c r="AA46" i="4"/>
  <c r="AB44" i="4"/>
  <c r="AB46" i="4"/>
  <c r="AC44" i="4"/>
  <c r="AC46" i="4"/>
  <c r="AD44" i="4"/>
  <c r="AD46" i="4"/>
  <c r="AE44" i="4"/>
  <c r="AE46" i="4"/>
  <c r="AF44" i="4"/>
  <c r="AF46" i="4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G44" i="4"/>
  <c r="AG46" i="4"/>
  <c r="AH44" i="4"/>
  <c r="AH46" i="4"/>
  <c r="AI44" i="4"/>
  <c r="AI46" i="4"/>
  <c r="AJ44" i="4"/>
  <c r="AJ46" i="4"/>
  <c r="AK44" i="4"/>
  <c r="AK46" i="4"/>
  <c r="AL44" i="4"/>
  <c r="AL46" i="4"/>
  <c r="AM44" i="4"/>
  <c r="AM46" i="4"/>
  <c r="AN44" i="4"/>
  <c r="AN46" i="4"/>
  <c r="AO44" i="4"/>
  <c r="AO46" i="4"/>
  <c r="AP44" i="4"/>
  <c r="AP46" i="4"/>
  <c r="AQ44" i="4"/>
  <c r="AQ46" i="4"/>
  <c r="C680" i="5"/>
  <c r="C673" i="5"/>
  <c r="C674" i="5"/>
  <c r="C678" i="5"/>
  <c r="C682" i="5"/>
  <c r="D361" i="5"/>
  <c r="D360" i="5"/>
  <c r="D359" i="5"/>
  <c r="D358" i="5"/>
  <c r="D357" i="5"/>
  <c r="D356" i="5"/>
  <c r="D355" i="5"/>
  <c r="D354" i="5"/>
  <c r="D353" i="5"/>
  <c r="D348" i="5"/>
  <c r="D347" i="5"/>
  <c r="D346" i="5"/>
  <c r="D345" i="5"/>
  <c r="D340" i="5"/>
  <c r="D339" i="5"/>
  <c r="D338" i="5"/>
  <c r="D337" i="5"/>
  <c r="D336" i="5"/>
  <c r="D335" i="5"/>
  <c r="D334" i="5"/>
  <c r="C349" i="5"/>
  <c r="D349" i="5"/>
  <c r="F349" i="5"/>
  <c r="C341" i="5"/>
  <c r="D341" i="5"/>
  <c r="F341" i="5"/>
  <c r="D315" i="5"/>
  <c r="D326" i="5"/>
  <c r="D314" i="5"/>
  <c r="D325" i="5"/>
  <c r="D313" i="5"/>
  <c r="D324" i="5"/>
  <c r="D312" i="5"/>
  <c r="D323" i="5"/>
  <c r="D327" i="5"/>
  <c r="D311" i="5"/>
  <c r="D310" i="5"/>
  <c r="D309" i="5"/>
  <c r="D308" i="5"/>
  <c r="D307" i="5"/>
  <c r="D300" i="5"/>
  <c r="C326" i="5"/>
  <c r="D299" i="5"/>
  <c r="C325" i="5"/>
  <c r="D298" i="5"/>
  <c r="C324" i="5"/>
  <c r="D297" i="5"/>
  <c r="C323" i="5"/>
  <c r="D290" i="5"/>
  <c r="D289" i="5"/>
  <c r="B326" i="5"/>
  <c r="E326" i="5"/>
  <c r="D288" i="5"/>
  <c r="B325" i="5"/>
  <c r="D287" i="5"/>
  <c r="B324" i="5"/>
  <c r="E324" i="5"/>
  <c r="D286" i="5"/>
  <c r="B323" i="5"/>
  <c r="B327" i="5"/>
  <c r="D285" i="5"/>
  <c r="D284" i="5"/>
  <c r="C316" i="5"/>
  <c r="D316" i="5"/>
  <c r="C301" i="5"/>
  <c r="D301" i="5"/>
  <c r="F301" i="5"/>
  <c r="C291" i="5"/>
  <c r="D291" i="5"/>
  <c r="F291" i="5"/>
  <c r="F316" i="5"/>
  <c r="C327" i="5"/>
  <c r="E327" i="5"/>
  <c r="C8" i="5"/>
  <c r="B103" i="5"/>
  <c r="B104" i="5"/>
  <c r="B111" i="5"/>
  <c r="D489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D490" i="5"/>
  <c r="D491" i="5"/>
  <c r="E323" i="5"/>
  <c r="H399" i="5"/>
  <c r="H396" i="5"/>
  <c r="I491" i="5"/>
  <c r="F491" i="5"/>
  <c r="D492" i="5"/>
  <c r="F363" i="5"/>
  <c r="F375" i="5"/>
  <c r="F317" i="5"/>
  <c r="E325" i="5"/>
  <c r="P521" i="5"/>
  <c r="B223" i="5"/>
  <c r="I490" i="5"/>
  <c r="F490" i="5"/>
  <c r="I489" i="5"/>
  <c r="F489" i="5"/>
  <c r="F327" i="5"/>
  <c r="O521" i="5"/>
  <c r="S521" i="5"/>
  <c r="F376" i="5"/>
  <c r="F377" i="5"/>
  <c r="J522" i="5"/>
  <c r="J489" i="5"/>
  <c r="K489" i="5"/>
  <c r="J490" i="5"/>
  <c r="K490" i="5"/>
  <c r="L490" i="5"/>
  <c r="P490" i="5"/>
  <c r="H491" i="5"/>
  <c r="G491" i="5"/>
  <c r="G522" i="5"/>
  <c r="H489" i="5"/>
  <c r="G489" i="5"/>
  <c r="H490" i="5"/>
  <c r="G490" i="5"/>
  <c r="B230" i="5"/>
  <c r="Q521" i="5"/>
  <c r="D493" i="5"/>
  <c r="I492" i="5"/>
  <c r="F492" i="5"/>
  <c r="J491" i="5"/>
  <c r="N491" i="5"/>
  <c r="K491" i="5"/>
  <c r="L491" i="5"/>
  <c r="P491" i="5"/>
  <c r="J492" i="5"/>
  <c r="K492" i="5"/>
  <c r="L492" i="5"/>
  <c r="P492" i="5"/>
  <c r="G523" i="5"/>
  <c r="L489" i="5"/>
  <c r="N489" i="5"/>
  <c r="P522" i="5"/>
  <c r="H492" i="5"/>
  <c r="G492" i="5"/>
  <c r="F493" i="5"/>
  <c r="D494" i="5"/>
  <c r="I493" i="5"/>
  <c r="Q522" i="5"/>
  <c r="J523" i="5"/>
  <c r="N490" i="5"/>
  <c r="P523" i="5"/>
  <c r="Q523" i="5"/>
  <c r="M522" i="5"/>
  <c r="M523" i="5"/>
  <c r="O522" i="5"/>
  <c r="S522" i="5"/>
  <c r="J524" i="5"/>
  <c r="J493" i="5"/>
  <c r="K493" i="5"/>
  <c r="G493" i="5"/>
  <c r="H493" i="5"/>
  <c r="O489" i="5"/>
  <c r="O490" i="5"/>
  <c r="O491" i="5"/>
  <c r="M489" i="5"/>
  <c r="M490" i="5"/>
  <c r="M491" i="5"/>
  <c r="M492" i="5"/>
  <c r="P489" i="5"/>
  <c r="G524" i="5"/>
  <c r="S523" i="5"/>
  <c r="O523" i="5"/>
  <c r="I494" i="5"/>
  <c r="F494" i="5"/>
  <c r="D495" i="5"/>
  <c r="N492" i="5"/>
  <c r="K494" i="5"/>
  <c r="L494" i="5"/>
  <c r="P494" i="5"/>
  <c r="J494" i="5"/>
  <c r="D5" i="2"/>
  <c r="G525" i="5"/>
  <c r="O492" i="5"/>
  <c r="L493" i="5"/>
  <c r="P524" i="5"/>
  <c r="D4" i="2"/>
  <c r="F495" i="5"/>
  <c r="D496" i="5"/>
  <c r="I495" i="5"/>
  <c r="G494" i="5"/>
  <c r="H494" i="5"/>
  <c r="J525" i="5"/>
  <c r="N493" i="5"/>
  <c r="B50" i="5"/>
  <c r="S524" i="5"/>
  <c r="O524" i="5"/>
  <c r="S525" i="5"/>
  <c r="G526" i="5"/>
  <c r="J495" i="5"/>
  <c r="K495" i="5"/>
  <c r="L495" i="5"/>
  <c r="P495" i="5"/>
  <c r="G495" i="5"/>
  <c r="H495" i="5"/>
  <c r="Q524" i="5"/>
  <c r="P493" i="5"/>
  <c r="M493" i="5"/>
  <c r="M494" i="5"/>
  <c r="P525" i="5"/>
  <c r="J526" i="5"/>
  <c r="I496" i="5"/>
  <c r="F496" i="5"/>
  <c r="D497" i="5"/>
  <c r="M524" i="5"/>
  <c r="O493" i="5"/>
  <c r="N494" i="5"/>
  <c r="M525" i="5"/>
  <c r="M526" i="5"/>
  <c r="O525" i="5"/>
  <c r="O526" i="5"/>
  <c r="O494" i="5"/>
  <c r="G527" i="5"/>
  <c r="G496" i="5"/>
  <c r="H496" i="5"/>
  <c r="S526" i="5"/>
  <c r="Q525" i="5"/>
  <c r="I497" i="5"/>
  <c r="F497" i="5"/>
  <c r="D498" i="5"/>
  <c r="K496" i="5"/>
  <c r="L496" i="5"/>
  <c r="J496" i="5"/>
  <c r="N496" i="5"/>
  <c r="J527" i="5"/>
  <c r="P526" i="5"/>
  <c r="M495" i="5"/>
  <c r="M496" i="5"/>
  <c r="N495" i="5"/>
  <c r="P527" i="5"/>
  <c r="S527" i="5"/>
  <c r="O527" i="5"/>
  <c r="P496" i="5"/>
  <c r="G497" i="5"/>
  <c r="H497" i="5"/>
  <c r="J528" i="5"/>
  <c r="O495" i="5"/>
  <c r="O496" i="5"/>
  <c r="I498" i="5"/>
  <c r="D499" i="5"/>
  <c r="F498" i="5"/>
  <c r="K497" i="5"/>
  <c r="L497" i="5"/>
  <c r="P497" i="5"/>
  <c r="J497" i="5"/>
  <c r="Q526" i="5"/>
  <c r="M527" i="5"/>
  <c r="G528" i="5"/>
  <c r="Q527" i="5"/>
  <c r="J529" i="5"/>
  <c r="G529" i="5"/>
  <c r="N497" i="5"/>
  <c r="H498" i="5"/>
  <c r="G498" i="5"/>
  <c r="K498" i="5"/>
  <c r="L498" i="5"/>
  <c r="P498" i="5"/>
  <c r="J498" i="5"/>
  <c r="N498" i="5"/>
  <c r="P528" i="5"/>
  <c r="Q528" i="5"/>
  <c r="D500" i="5"/>
  <c r="F499" i="5"/>
  <c r="I499" i="5"/>
  <c r="O497" i="5"/>
  <c r="O498" i="5"/>
  <c r="M497" i="5"/>
  <c r="M498" i="5"/>
  <c r="P529" i="5"/>
  <c r="Q529" i="5"/>
  <c r="S528" i="5"/>
  <c r="O528" i="5"/>
  <c r="J499" i="5"/>
  <c r="K499" i="5"/>
  <c r="L499" i="5"/>
  <c r="I500" i="5"/>
  <c r="D501" i="5"/>
  <c r="F500" i="5"/>
  <c r="G530" i="5"/>
  <c r="H499" i="5"/>
  <c r="G499" i="5"/>
  <c r="M528" i="5"/>
  <c r="J530" i="5"/>
  <c r="P530" i="5"/>
  <c r="O529" i="5"/>
  <c r="O530" i="5"/>
  <c r="Q530" i="5"/>
  <c r="S529" i="5"/>
  <c r="J531" i="5"/>
  <c r="I501" i="5"/>
  <c r="F501" i="5"/>
  <c r="D502" i="5"/>
  <c r="P499" i="5"/>
  <c r="M499" i="5"/>
  <c r="M529" i="5"/>
  <c r="G531" i="5"/>
  <c r="G500" i="5"/>
  <c r="H500" i="5"/>
  <c r="J500" i="5"/>
  <c r="N500" i="5"/>
  <c r="K500" i="5"/>
  <c r="L500" i="5"/>
  <c r="P500" i="5"/>
  <c r="N499" i="5"/>
  <c r="O499" i="5"/>
  <c r="O500" i="5"/>
  <c r="M530" i="5"/>
  <c r="S530" i="5"/>
  <c r="G501" i="5"/>
  <c r="H501" i="5"/>
  <c r="G532" i="5"/>
  <c r="M500" i="5"/>
  <c r="F502" i="5"/>
  <c r="D503" i="5"/>
  <c r="I502" i="5"/>
  <c r="K501" i="5"/>
  <c r="L501" i="5"/>
  <c r="P501" i="5"/>
  <c r="J501" i="5"/>
  <c r="N501" i="5"/>
  <c r="O501" i="5"/>
  <c r="P531" i="5"/>
  <c r="Q531" i="5"/>
  <c r="J532" i="5"/>
  <c r="P532" i="5"/>
  <c r="S532" i="5"/>
  <c r="K502" i="5"/>
  <c r="L502" i="5"/>
  <c r="P502" i="5"/>
  <c r="J502" i="5"/>
  <c r="G502" i="5"/>
  <c r="N502" i="5"/>
  <c r="O502" i="5"/>
  <c r="H502" i="5"/>
  <c r="G533" i="5"/>
  <c r="O531" i="5"/>
  <c r="O532" i="5"/>
  <c r="S531" i="5"/>
  <c r="Q532" i="5"/>
  <c r="F503" i="5"/>
  <c r="D504" i="5"/>
  <c r="I503" i="5"/>
  <c r="M501" i="5"/>
  <c r="M502" i="5"/>
  <c r="J533" i="5"/>
  <c r="P533" i="5"/>
  <c r="M531" i="5"/>
  <c r="M532" i="5"/>
  <c r="M533" i="5"/>
  <c r="J534" i="5"/>
  <c r="I504" i="5"/>
  <c r="D505" i="5"/>
  <c r="F504" i="5"/>
  <c r="Q533" i="5"/>
  <c r="G534" i="5"/>
  <c r="K503" i="5"/>
  <c r="L503" i="5"/>
  <c r="P503" i="5"/>
  <c r="J503" i="5"/>
  <c r="G503" i="5"/>
  <c r="H503" i="5"/>
  <c r="S533" i="5"/>
  <c r="O533" i="5"/>
  <c r="G535" i="5"/>
  <c r="I505" i="5"/>
  <c r="F505" i="5"/>
  <c r="D506" i="5"/>
  <c r="M503" i="5"/>
  <c r="M534" i="5"/>
  <c r="N503" i="5"/>
  <c r="O503" i="5"/>
  <c r="J535" i="5"/>
  <c r="G504" i="5"/>
  <c r="H504" i="5"/>
  <c r="J504" i="5"/>
  <c r="N504" i="5"/>
  <c r="K504" i="5"/>
  <c r="L504" i="5"/>
  <c r="P504" i="5"/>
  <c r="P534" i="5"/>
  <c r="Q534" i="5"/>
  <c r="S534" i="5"/>
  <c r="P535" i="5"/>
  <c r="Q535" i="5"/>
  <c r="O534" i="5"/>
  <c r="J536" i="5"/>
  <c r="O504" i="5"/>
  <c r="F506" i="5"/>
  <c r="D507" i="5"/>
  <c r="I506" i="5"/>
  <c r="K505" i="5"/>
  <c r="L505" i="5"/>
  <c r="P505" i="5"/>
  <c r="J505" i="5"/>
  <c r="O535" i="5"/>
  <c r="S535" i="5"/>
  <c r="G536" i="5"/>
  <c r="M535" i="5"/>
  <c r="M504" i="5"/>
  <c r="M505" i="5"/>
  <c r="H505" i="5"/>
  <c r="G505" i="5"/>
  <c r="G537" i="5"/>
  <c r="I507" i="5"/>
  <c r="F507" i="5"/>
  <c r="D508" i="5"/>
  <c r="J537" i="5"/>
  <c r="P537" i="5"/>
  <c r="N505" i="5"/>
  <c r="O505" i="5"/>
  <c r="J506" i="5"/>
  <c r="K506" i="5"/>
  <c r="L506" i="5"/>
  <c r="P506" i="5"/>
  <c r="G506" i="5"/>
  <c r="H506" i="5"/>
  <c r="P536" i="5"/>
  <c r="Q536" i="5"/>
  <c r="Q537" i="5"/>
  <c r="N506" i="5"/>
  <c r="O506" i="5"/>
  <c r="G538" i="5"/>
  <c r="O536" i="5"/>
  <c r="S536" i="5"/>
  <c r="I508" i="5"/>
  <c r="F508" i="5"/>
  <c r="D509" i="5"/>
  <c r="K507" i="5"/>
  <c r="L507" i="5"/>
  <c r="P507" i="5"/>
  <c r="J507" i="5"/>
  <c r="S537" i="5"/>
  <c r="J538" i="5"/>
  <c r="P538" i="5"/>
  <c r="Q538" i="5"/>
  <c r="M506" i="5"/>
  <c r="M507" i="5"/>
  <c r="G507" i="5"/>
  <c r="H507" i="5"/>
  <c r="M536" i="5"/>
  <c r="M537" i="5"/>
  <c r="M538" i="5"/>
  <c r="O537" i="5"/>
  <c r="O538" i="5"/>
  <c r="S538" i="5"/>
  <c r="H508" i="5"/>
  <c r="G508" i="5"/>
  <c r="G539" i="5"/>
  <c r="N507" i="5"/>
  <c r="O507" i="5"/>
  <c r="J508" i="5"/>
  <c r="N508" i="5"/>
  <c r="O508" i="5"/>
  <c r="D510" i="5"/>
  <c r="I509" i="5"/>
  <c r="F509" i="5"/>
  <c r="K508" i="5"/>
  <c r="L508" i="5"/>
  <c r="P508" i="5"/>
  <c r="J539" i="5"/>
  <c r="P539" i="5"/>
  <c r="Q539" i="5"/>
  <c r="O539" i="5"/>
  <c r="G540" i="5"/>
  <c r="K509" i="5"/>
  <c r="L509" i="5"/>
  <c r="P509" i="5"/>
  <c r="J509" i="5"/>
  <c r="J540" i="5"/>
  <c r="H509" i="5"/>
  <c r="G509" i="5"/>
  <c r="I510" i="5"/>
  <c r="F510" i="5"/>
  <c r="D511" i="5"/>
  <c r="M508" i="5"/>
  <c r="M509" i="5"/>
  <c r="M539" i="5"/>
  <c r="S539" i="5"/>
  <c r="M540" i="5"/>
  <c r="P540" i="5"/>
  <c r="Q540" i="5"/>
  <c r="G510" i="5"/>
  <c r="H510" i="5"/>
  <c r="N509" i="5"/>
  <c r="O509" i="5"/>
  <c r="J541" i="5"/>
  <c r="D512" i="5"/>
  <c r="F511" i="5"/>
  <c r="I511" i="5"/>
  <c r="K510" i="5"/>
  <c r="L510" i="5"/>
  <c r="P510" i="5"/>
  <c r="J510" i="5"/>
  <c r="N510" i="5"/>
  <c r="S540" i="5"/>
  <c r="O540" i="5"/>
  <c r="G541" i="5"/>
  <c r="J511" i="5"/>
  <c r="K511" i="5"/>
  <c r="I512" i="5"/>
  <c r="P541" i="5"/>
  <c r="Q541" i="5"/>
  <c r="G542" i="5"/>
  <c r="H511" i="5"/>
  <c r="H512" i="5"/>
  <c r="G511" i="5"/>
  <c r="G512" i="5"/>
  <c r="F512" i="5"/>
  <c r="M510" i="5"/>
  <c r="J542" i="5"/>
  <c r="P542" i="5"/>
  <c r="O510" i="5"/>
  <c r="S541" i="5"/>
  <c r="O541" i="5"/>
  <c r="M541" i="5"/>
  <c r="M542" i="5"/>
  <c r="G543" i="5"/>
  <c r="Q542" i="5"/>
  <c r="L511" i="5"/>
  <c r="L512" i="5"/>
  <c r="K512" i="5"/>
  <c r="M511" i="5"/>
  <c r="J543" i="5"/>
  <c r="N511" i="5"/>
  <c r="N512" i="5"/>
  <c r="J512" i="5"/>
  <c r="O542" i="5"/>
  <c r="P543" i="5"/>
  <c r="S542" i="5"/>
  <c r="J544" i="5"/>
  <c r="O511" i="5"/>
  <c r="M543" i="5"/>
  <c r="O543" i="5"/>
  <c r="S543" i="5"/>
  <c r="G544" i="5"/>
  <c r="Q543" i="5"/>
  <c r="J545" i="5"/>
  <c r="P544" i="5"/>
  <c r="Q544" i="5"/>
  <c r="G545" i="5"/>
  <c r="M544" i="5"/>
  <c r="M545" i="5"/>
  <c r="J546" i="5"/>
  <c r="S544" i="5"/>
  <c r="O544" i="5"/>
  <c r="P545" i="5"/>
  <c r="Q545" i="5"/>
  <c r="G546" i="5"/>
  <c r="J547" i="5"/>
  <c r="G547" i="5"/>
  <c r="P546" i="5"/>
  <c r="Q546" i="5"/>
  <c r="O545" i="5"/>
  <c r="S545" i="5"/>
  <c r="S546" i="5"/>
  <c r="O546" i="5"/>
  <c r="J548" i="5"/>
  <c r="M546" i="5"/>
  <c r="P547" i="5"/>
  <c r="Q547" i="5"/>
  <c r="G548" i="5"/>
  <c r="M547" i="5"/>
  <c r="J549" i="5"/>
  <c r="G549" i="5"/>
  <c r="P548" i="5"/>
  <c r="Q548" i="5"/>
  <c r="S547" i="5"/>
  <c r="O547" i="5"/>
  <c r="O548" i="5"/>
  <c r="S548" i="5"/>
  <c r="P549" i="5"/>
  <c r="Q549" i="5"/>
  <c r="G550" i="5"/>
  <c r="M548" i="5"/>
  <c r="J550" i="5"/>
  <c r="P550" i="5"/>
  <c r="M549" i="5"/>
  <c r="Q550" i="5"/>
  <c r="O549" i="5"/>
  <c r="S549" i="5"/>
  <c r="J551" i="5"/>
  <c r="S550" i="5"/>
  <c r="O550" i="5"/>
  <c r="M550" i="5"/>
  <c r="G551" i="5"/>
  <c r="F739" i="5"/>
  <c r="M551" i="5"/>
  <c r="J552" i="5"/>
  <c r="P551" i="5"/>
  <c r="Q551" i="5"/>
  <c r="G552" i="5"/>
  <c r="J553" i="5"/>
  <c r="G553" i="5"/>
  <c r="P552" i="5"/>
  <c r="Q552" i="5"/>
  <c r="S551" i="5"/>
  <c r="O551" i="5"/>
  <c r="S552" i="5"/>
  <c r="O552" i="5"/>
  <c r="M552" i="5"/>
  <c r="P553" i="5"/>
  <c r="Q553" i="5"/>
  <c r="G554" i="5"/>
  <c r="J554" i="5"/>
  <c r="M553" i="5"/>
  <c r="P554" i="5"/>
  <c r="Q554" i="5"/>
  <c r="S554" i="5"/>
  <c r="G555" i="5"/>
  <c r="S553" i="5"/>
  <c r="O553" i="5"/>
  <c r="J555" i="5"/>
  <c r="O554" i="5"/>
  <c r="P555" i="5"/>
  <c r="Q555" i="5"/>
  <c r="M554" i="5"/>
  <c r="J556" i="5"/>
  <c r="G556" i="5"/>
  <c r="M555" i="5"/>
  <c r="O555" i="5"/>
  <c r="S555" i="5"/>
  <c r="G557" i="5"/>
  <c r="P556" i="5"/>
  <c r="Q556" i="5"/>
  <c r="J557" i="5"/>
  <c r="P557" i="5"/>
  <c r="S557" i="5"/>
  <c r="S556" i="5"/>
  <c r="O556" i="5"/>
  <c r="J558" i="5"/>
  <c r="Q557" i="5"/>
  <c r="G558" i="5"/>
  <c r="M556" i="5"/>
  <c r="M557" i="5"/>
  <c r="O557" i="5"/>
  <c r="J559" i="5"/>
  <c r="P558" i="5"/>
  <c r="Q558" i="5"/>
  <c r="G559" i="5"/>
  <c r="S558" i="5"/>
  <c r="O558" i="5"/>
  <c r="M558" i="5"/>
  <c r="P559" i="5"/>
  <c r="H561" i="5"/>
  <c r="G560" i="5"/>
  <c r="G561" i="5"/>
  <c r="F561" i="5"/>
  <c r="Q559" i="5"/>
  <c r="J560" i="5"/>
  <c r="I561" i="5"/>
  <c r="P560" i="5"/>
  <c r="P561" i="5"/>
  <c r="J561" i="5"/>
  <c r="O559" i="5"/>
  <c r="S559" i="5"/>
  <c r="M559" i="5"/>
  <c r="K561" i="5"/>
  <c r="Q560" i="5"/>
  <c r="Q561" i="5"/>
  <c r="M560" i="5"/>
  <c r="M561" i="5"/>
  <c r="S560" i="5"/>
  <c r="S561" i="5"/>
  <c r="O560" i="5"/>
  <c r="O561" i="5"/>
  <c r="L561" i="5"/>
  <c r="D49" i="2"/>
</calcChain>
</file>

<file path=xl/sharedStrings.xml><?xml version="1.0" encoding="utf-8"?>
<sst xmlns="http://schemas.openxmlformats.org/spreadsheetml/2006/main" count="751" uniqueCount="493">
  <si>
    <t>Year</t>
  </si>
  <si>
    <t>Economic Competitiveness</t>
  </si>
  <si>
    <t>Safety</t>
  </si>
  <si>
    <t>TOTAL</t>
  </si>
  <si>
    <t>NPV</t>
  </si>
  <si>
    <t>Meadowbrook</t>
  </si>
  <si>
    <t>Discount Rate</t>
  </si>
  <si>
    <t>CNG</t>
  </si>
  <si>
    <t>BUS COSTS</t>
  </si>
  <si>
    <t>Source:  UTA Bus Vehicle Procure - Comm Mgr</t>
  </si>
  <si>
    <t>CNG (DGE) vs diesel Benefits</t>
  </si>
  <si>
    <t>(DGE- Diesel Gallon Equivalent)</t>
  </si>
  <si>
    <t>Price of diesel/gal</t>
  </si>
  <si>
    <t>Price of CNG/DGE</t>
  </si>
  <si>
    <t>per year</t>
  </si>
  <si>
    <t>CNG DGE</t>
  </si>
  <si>
    <t>CNG cost</t>
  </si>
  <si>
    <t>diesel gal</t>
  </si>
  <si>
    <t>diesel cost</t>
  </si>
  <si>
    <t>Fuel Cost</t>
  </si>
  <si>
    <t xml:space="preserve">Accum </t>
  </si>
  <si>
    <t>CNG Bus Schedule</t>
  </si>
  <si>
    <t>CNGs</t>
  </si>
  <si>
    <t>Total</t>
  </si>
  <si>
    <t>% of year</t>
  </si>
  <si>
    <t>Savings</t>
  </si>
  <si>
    <t>Totals</t>
  </si>
  <si>
    <t>of CNGs</t>
  </si>
  <si>
    <t>Added Cost</t>
  </si>
  <si>
    <t>Inflation Years</t>
  </si>
  <si>
    <t>per Year</t>
  </si>
  <si>
    <t>CNG Cost</t>
  </si>
  <si>
    <t>Diesel Gal</t>
  </si>
  <si>
    <t>Diesel Cost</t>
  </si>
  <si>
    <t>(GHG - Greenhouse Gases)</t>
  </si>
  <si>
    <t>Miles/gallon=</t>
  </si>
  <si>
    <t>Diesel</t>
  </si>
  <si>
    <t>Miles/year/bus=</t>
  </si>
  <si>
    <t>CNG GHG</t>
  </si>
  <si>
    <t>Diesel GHG</t>
  </si>
  <si>
    <t>GHG (tons)</t>
  </si>
  <si>
    <t>Accum GHG</t>
  </si>
  <si>
    <t>tons per year</t>
  </si>
  <si>
    <t>CNG Fuel Savings per Bus per Year</t>
  </si>
  <si>
    <r>
      <t xml:space="preserve">Assuption #1 - </t>
    </r>
    <r>
      <rPr>
        <b/>
        <sz val="10"/>
        <color theme="1"/>
        <rFont val="Arial"/>
        <family val="2"/>
      </rPr>
      <t>Current TDP</t>
    </r>
  </si>
  <si>
    <t>Annual Fuel Savings per CNG Bus per Year</t>
  </si>
  <si>
    <t>Tons per Year</t>
  </si>
  <si>
    <t>2.  REDUCED FUEL COSTS FOR CNG BUSES</t>
  </si>
  <si>
    <t>3.  REDUCED FUEL COSTS FOR REDUCED VMTS DUE TO INCREASED RIDERSHIP</t>
  </si>
  <si>
    <t>Meadowbrook has 3 fuel islands and the new proposed facility at Central would have 3 to 4 fuel islands, the below savings are based on the assumption Central's wait time during the fueling process will be improved to be at least that of Meadowbrook.</t>
  </si>
  <si>
    <t>Fuel, Clean, Wash &amp; Park (4 days per wk)</t>
  </si>
  <si>
    <t>Fuel, Clean, Wash, Brakes &amp; Park (1 per wk)</t>
  </si>
  <si>
    <t xml:space="preserve">Central </t>
  </si>
  <si>
    <t>Difference</t>
  </si>
  <si>
    <r>
      <t xml:space="preserve">Efficicency Difference </t>
    </r>
    <r>
      <rPr>
        <sz val="11"/>
        <rFont val="Calibri"/>
        <family val="2"/>
        <scheme val="minor"/>
      </rPr>
      <t>(Converted to Decimal)</t>
    </r>
  </si>
  <si>
    <t>Each bus is driven over the brake pit once per week.</t>
  </si>
  <si>
    <t>Buses (Weekday Peak)</t>
  </si>
  <si>
    <t>Buses (Saturday Peak)</t>
  </si>
  <si>
    <t>Weekdays</t>
  </si>
  <si>
    <t>Saturdays</t>
  </si>
  <si>
    <t>Annual Time Savings</t>
  </si>
  <si>
    <t>Total Minutes Saved</t>
  </si>
  <si>
    <t>Time Savings Per Year (min)</t>
  </si>
  <si>
    <t>Total Hours Saved</t>
  </si>
  <si>
    <t xml:space="preserve">   Fringe Rate</t>
  </si>
  <si>
    <t xml:space="preserve">   Avg Amt of Fuel Consumed during Waiting</t>
  </si>
  <si>
    <t>*** I didn't use the 1 gallon per hour for this calculation because some of this waiting time the bus is turned off.***</t>
  </si>
  <si>
    <t xml:space="preserve">   Budgeted Fuel Price Per Gallon</t>
  </si>
  <si>
    <t>Annual Dollar Savings</t>
  </si>
  <si>
    <t>Total Annual  Labor Savings</t>
  </si>
  <si>
    <t>Total Annual Fuel Savings</t>
  </si>
  <si>
    <t>1a.  REDUCED OPERATING COSTS OF NEW FACILITY - Improved Efficiency Maintenance</t>
  </si>
  <si>
    <t>1b.  REDUCED OPERATING COSTS OF NEW FACILITY - Improved Efficiency Operating</t>
  </si>
  <si>
    <t>If all existing service remains equal, and Central had the capacity we could move a couple of routes from Meadowbrook to Central which would add about 10 buses.  This would result in deadhead miles and hours savings during weekdays.</t>
  </si>
  <si>
    <t>One-Way</t>
  </si>
  <si>
    <t>Round-Trip</t>
  </si>
  <si>
    <t>Deadhead Miles</t>
  </si>
  <si>
    <t xml:space="preserve">Deadhead Hours </t>
  </si>
  <si>
    <t>Service Days</t>
  </si>
  <si>
    <t>Avg Cost Per Mile</t>
  </si>
  <si>
    <t>Avg Cost Per Hour</t>
  </si>
  <si>
    <t>Annual DH Mileage Savings</t>
  </si>
  <si>
    <t>Annual DH Hours Savings</t>
  </si>
  <si>
    <t>Beginning June 2013 Central will begin running CNG buses and we don't have a fueling station, therefore it requires additional headcount to shuttle the buses to and from the facility to be fueled at the nearest natural gas fueling station.</t>
  </si>
  <si>
    <t>1c.  REDUCED OPERATING COSTS OF NEW FACILITY - Headcount Savings Maintenance</t>
  </si>
  <si>
    <t>It is estimated that 26 buses get backed up sporadically during pullin in for 2-3 minutes while the bus ahead has the farebox pulled. By streamlining the facility and placing farebox at the fuel island it should reduce this wait time to 30-60 seconds.</t>
  </si>
  <si>
    <t>Time Backed Up (min)</t>
  </si>
  <si>
    <t>Estimated New  Time (min)</t>
  </si>
  <si>
    <t>Service Days (Weekday)</t>
  </si>
  <si>
    <t>Farebox Time Savings (min)</t>
  </si>
  <si>
    <t>Farebox Time Savings (hr)</t>
  </si>
  <si>
    <t>Avg Hourly Wage for Farebox Employee</t>
  </si>
  <si>
    <t>*** I used 1 gallon of fuel per hour because this would all be idle time while in the que***</t>
  </si>
  <si>
    <t>1d.  REDUCED OPERATING COSTS OF NEW FACILITY - Improved Efficiency Farebox</t>
  </si>
  <si>
    <t>Reduced Operating Costs - Maintenance (Labor Savings)</t>
  </si>
  <si>
    <t>Reduced Operating Costs - Maintenance (Fuel Savings)</t>
  </si>
  <si>
    <t>Reduced Operating Costs - Operations (Deadhead Mile Savings)</t>
  </si>
  <si>
    <t>Reduced Operating Costs - Operations (Deadhead Labor Savings)</t>
  </si>
  <si>
    <t>Reduced Operating Costs - Operations (Farebox Labor Savings)</t>
  </si>
  <si>
    <t>Reduced Operating Costs - Operations (Fueler Headcount Savings)</t>
  </si>
  <si>
    <t>Reduced Operating Costs - Operations (Farebox Fuel Savings)</t>
  </si>
  <si>
    <t>Reduced Operating Costs - (CNG Fuel Savings over Diesel)</t>
  </si>
  <si>
    <t>Additional Costs of CNG Buses</t>
  </si>
  <si>
    <t>Energy Cost Savings over Existing Central Bus Garage- Utility Costs Savings</t>
  </si>
  <si>
    <t>Analysis #1-</t>
  </si>
  <si>
    <t>Water Usage at Central: (gallons, 784 gals / CCF)</t>
  </si>
  <si>
    <t>($0.88/CCF)</t>
  </si>
  <si>
    <t>Gallons</t>
  </si>
  <si>
    <t>Use Avg.</t>
  </si>
  <si>
    <t>Avg.</t>
  </si>
  <si>
    <t>Gas Usage: Central Heating (Decatherms)</t>
  </si>
  <si>
    <t>($6.70 / DTH)</t>
  </si>
  <si>
    <t>DTH</t>
  </si>
  <si>
    <t>Power/Electrical Usage: Central  (kWh)</t>
  </si>
  <si>
    <t>($0.08/kWh)</t>
  </si>
  <si>
    <t>kWh</t>
  </si>
  <si>
    <t>Average=</t>
  </si>
  <si>
    <t>Use</t>
  </si>
  <si>
    <t>Expected Utility Benefits from New Central Bus Facility</t>
  </si>
  <si>
    <t>Based upon experience of RNL and MDG on prior projects.</t>
  </si>
  <si>
    <t>Expected Water usage reduction</t>
  </si>
  <si>
    <t>Expected Gas usage reduction</t>
  </si>
  <si>
    <t>Expected Benefit (annual)</t>
  </si>
  <si>
    <t>Existing Central Bus Facility Utility Costs/ per year</t>
  </si>
  <si>
    <t>Expected cost reduction (savings benefit)</t>
  </si>
  <si>
    <r>
      <t>Analysis #2-</t>
    </r>
    <r>
      <rPr>
        <sz val="11"/>
        <color theme="1"/>
        <rFont val="Calibri"/>
        <family val="2"/>
        <scheme val="minor"/>
      </rPr>
      <t xml:space="preserve"> Draft from RNL 5/17/13</t>
    </r>
  </si>
  <si>
    <t>Unit</t>
  </si>
  <si>
    <t>Usage</t>
  </si>
  <si>
    <t>MBTUs</t>
  </si>
  <si>
    <t>Cost</t>
  </si>
  <si>
    <t>Existing Central:</t>
  </si>
  <si>
    <t>SF</t>
  </si>
  <si>
    <t>KwHours</t>
  </si>
  <si>
    <t>MBTUs per KwHour</t>
  </si>
  <si>
    <t>Decatherms</t>
  </si>
  <si>
    <t>KBTU/SF</t>
  </si>
  <si>
    <t>Cost/SF</t>
  </si>
  <si>
    <t>New Central:</t>
  </si>
  <si>
    <t>Size of new facility to existing, 150 buses to 100 buses</t>
  </si>
  <si>
    <t>Est. KBTU/SF</t>
  </si>
  <si>
    <t>Est. KBTU/SF Based on past designs by RNL</t>
  </si>
  <si>
    <t>KwHours @ 50%</t>
  </si>
  <si>
    <t>$0.08 per KwH</t>
  </si>
  <si>
    <t>Decatherms @50%</t>
  </si>
  <si>
    <t>$6.6 per MBTUs</t>
  </si>
  <si>
    <t>Energy:</t>
  </si>
  <si>
    <t>KBTU Reduction=</t>
  </si>
  <si>
    <t>-</t>
  </si>
  <si>
    <t>=</t>
  </si>
  <si>
    <t>Energy usage reduction</t>
  </si>
  <si>
    <t>Cost Reduction=</t>
  </si>
  <si>
    <t>cost reduction for facility that is  333% larger</t>
  </si>
  <si>
    <t>Energy Efficiency=</t>
  </si>
  <si>
    <t>more cost effective per SF</t>
  </si>
  <si>
    <t>1e.  REDUCED OPERATING COSTS OF NEW FACILITY - Utilities</t>
  </si>
  <si>
    <t>Existing Central Bus Garage Utility Costs</t>
  </si>
  <si>
    <t>Total Utility Costs</t>
  </si>
  <si>
    <t>Water</t>
  </si>
  <si>
    <t>Gas</t>
  </si>
  <si>
    <t>Power</t>
  </si>
  <si>
    <t>New Central Garage Utility Cost Savings</t>
  </si>
  <si>
    <t>Utah Transit Authority</t>
  </si>
  <si>
    <t>Estimated CNG Costs: Diesel Bus Operations</t>
  </si>
  <si>
    <t>Notes</t>
  </si>
  <si>
    <t>Questar "Retail" CNG Cost per GGE</t>
  </si>
  <si>
    <t>May 2013 Price, GGE=Gasoline Gallon Equivalent</t>
  </si>
  <si>
    <t>Less:</t>
  </si>
  <si>
    <t>Federal Excise Tax GGE</t>
  </si>
  <si>
    <t>Utah State Excise Tax GGE</t>
  </si>
  <si>
    <t xml:space="preserve">  Total Excise Tax GGE</t>
  </si>
  <si>
    <t xml:space="preserve">  Net UTA CNG Cost per GGE</t>
  </si>
  <si>
    <t>Convert to Diesel Gallon Equivalent (DGE)</t>
  </si>
  <si>
    <t xml:space="preserve"> Conversion to DGE Factor</t>
  </si>
  <si>
    <t>Per Clean Cities 'Vice' CNG economic model</t>
  </si>
  <si>
    <t>UTA Cost per DGE</t>
  </si>
  <si>
    <t>Adjustment for lower MPG CNG vs Diesel</t>
  </si>
  <si>
    <t>Per Texas Transportation Institute CapMetro CNG study, p. 57</t>
  </si>
  <si>
    <t>Transit buses get 3.1mpg per DGE vs 3.6mpg per gallon diesel</t>
  </si>
  <si>
    <t>UTA Efficiency adjusted price per DGE</t>
  </si>
  <si>
    <t>Environmental Sustainability</t>
  </si>
  <si>
    <t>(CAP- Criteria Air Pollutants)</t>
  </si>
  <si>
    <t>NOx</t>
  </si>
  <si>
    <t>grams/mile=</t>
  </si>
  <si>
    <t>PM</t>
  </si>
  <si>
    <t>VOC</t>
  </si>
  <si>
    <r>
      <t xml:space="preserve">Assuption #1 - </t>
    </r>
    <r>
      <rPr>
        <u/>
        <sz val="10"/>
        <color theme="1"/>
        <rFont val="Arial"/>
        <family val="2"/>
      </rPr>
      <t>Current TDP</t>
    </r>
  </si>
  <si>
    <t>CNG Miles</t>
  </si>
  <si>
    <t>CNG CAP</t>
  </si>
  <si>
    <t>Diesel Miles</t>
  </si>
  <si>
    <t>CAP</t>
  </si>
  <si>
    <t>Emissions</t>
  </si>
  <si>
    <t>Years</t>
  </si>
  <si>
    <t>long tons</t>
  </si>
  <si>
    <t>Emissions Cost</t>
  </si>
  <si>
    <t>TOTAL Benefits</t>
  </si>
  <si>
    <t>TOTAL Costs</t>
  </si>
  <si>
    <r>
      <t>SO</t>
    </r>
    <r>
      <rPr>
        <vertAlign val="subscript"/>
        <sz val="11"/>
        <color theme="1"/>
        <rFont val="Arial"/>
        <family val="2"/>
      </rPr>
      <t>2</t>
    </r>
  </si>
  <si>
    <t>Benefits</t>
  </si>
  <si>
    <t>Central w/o Garage</t>
  </si>
  <si>
    <t>System</t>
  </si>
  <si>
    <t>Daily</t>
  </si>
  <si>
    <t>Annual Difference</t>
  </si>
  <si>
    <t>Daily Difference</t>
  </si>
  <si>
    <t>VMTs Saved</t>
  </si>
  <si>
    <t>Avg bus trip length in miles</t>
  </si>
  <si>
    <t>Reduced VMTs</t>
  </si>
  <si>
    <t>Emissions and Fuel Consumption Rates per Mile Driven (grams)</t>
  </si>
  <si>
    <t>Carbon dioxide</t>
  </si>
  <si>
    <t xml:space="preserve">VOC </t>
  </si>
  <si>
    <t>Nitrogen oxide</t>
  </si>
  <si>
    <t>Particulate matter</t>
  </si>
  <si>
    <t>Sulfur dioxide</t>
  </si>
  <si>
    <t>Total NO Cost  Savings</t>
  </si>
  <si>
    <t>Total Particulate Cost Savings</t>
  </si>
  <si>
    <t>Total VOC Cost Savings</t>
  </si>
  <si>
    <t>grams per lb</t>
  </si>
  <si>
    <t>Long ton</t>
  </si>
  <si>
    <t>VMT</t>
  </si>
  <si>
    <t>VOC Emmissions* Short Tons</t>
  </si>
  <si>
    <t>g VOC / Mile***</t>
  </si>
  <si>
    <t>Utah 2008</t>
  </si>
  <si>
    <t>*VOC (Volatile Organic Compounds) Emissions from "On-Road, Mobile" sources only</t>
  </si>
  <si>
    <t>*SO2 (Sulfer Dioxide) Emissions from "On-Road, Mobile" sources only</t>
  </si>
  <si>
    <t>***1 Short ton = 2000 lbs, 1 lb = 453.59237 grams</t>
  </si>
  <si>
    <t>Utah VMT 2008: http://www.udot.utah.gov/main/f?p=100:pg:0::::V,T:,530</t>
  </si>
  <si>
    <t>Utah VOC Emissions 2008: http://www.epa.gov/cgi-bin/broker?_service=data&amp;_program=dataprog.state_2.sas&amp;_debug=0&amp;sector=Mobile&amp;pol=VOC&amp;stfips=49</t>
  </si>
  <si>
    <t>Utah SO2 Emissions 2008: http://www.epa.gov/cgi-bin/broker?_service=data&amp;_program=dataprog.state_2.sas&amp;_debug=0&amp;sector=Mobile&amp;pol=SO2&amp;stfips=49</t>
  </si>
  <si>
    <t>NOx,  PM, VOC, SO2 - VMTs Reduced</t>
  </si>
  <si>
    <t>Gallons of Gas Saved</t>
  </si>
  <si>
    <t>Estimated Fuel Costs per Gallon</t>
  </si>
  <si>
    <t>Estimated Fuel Savings</t>
  </si>
  <si>
    <t>Total VMT Reduction</t>
  </si>
  <si>
    <t>Average miles per gallon</t>
  </si>
  <si>
    <t>Average MPG Source: (2009) http://www.bts.gov/publications/national_transportation_statistics/#chapter_4</t>
  </si>
  <si>
    <t>Annual Engergy Outlook 2011 with Projections to 2035</t>
  </si>
  <si>
    <t>http://www.easterncoalcouncil.net/PDF_Files/ANNUAL_ENERGY_OUTLOOK_20110383%282011%29.pdf</t>
  </si>
  <si>
    <r>
      <rPr>
        <b/>
        <sz val="11"/>
        <color theme="1"/>
        <rFont val="Calibri"/>
        <family val="2"/>
        <scheme val="minor"/>
      </rPr>
      <t>Table A12. Petroleum product prices</t>
    </r>
    <r>
      <rPr>
        <sz val="11"/>
        <color theme="1"/>
        <rFont val="Calibri"/>
        <family val="2"/>
        <scheme val="minor"/>
      </rPr>
      <t xml:space="preserve"> (p.139)</t>
    </r>
  </si>
  <si>
    <t>(2009 dollars per gallon, unless otherwise noted)</t>
  </si>
  <si>
    <t>Fuel Savings - VMT Reduction</t>
  </si>
  <si>
    <t>Accident Classification</t>
  </si>
  <si>
    <t>Utah Incidents</t>
  </si>
  <si>
    <t>Per Incident Cost</t>
  </si>
  <si>
    <t>Total Cost</t>
  </si>
  <si>
    <t>Cost/VMT</t>
  </si>
  <si>
    <t>AIS 1</t>
  </si>
  <si>
    <t>AIS 2</t>
  </si>
  <si>
    <t>AIS 3</t>
  </si>
  <si>
    <t>AIS 4</t>
  </si>
  <si>
    <t>AIS 5</t>
  </si>
  <si>
    <t>AIS 6</t>
  </si>
  <si>
    <t>Property Damage</t>
  </si>
  <si>
    <t>CRASH REDUCTION CALCULATIONS</t>
  </si>
  <si>
    <t>Cost of Crashes</t>
  </si>
  <si>
    <t>Calendar Year</t>
  </si>
  <si>
    <t>Annual VMT Reduction</t>
  </si>
  <si>
    <t>Crash Reduction Savings</t>
  </si>
  <si>
    <t>CNG Bus</t>
  </si>
  <si>
    <r>
      <t>(GHG - Greenhouse Gases -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</si>
  <si>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>BC RATIO</t>
  </si>
  <si>
    <t>System Daily</t>
  </si>
  <si>
    <t>Riders per Mile</t>
  </si>
  <si>
    <t xml:space="preserve"> Growth Factor</t>
  </si>
  <si>
    <t>Growth Reduction Factor</t>
  </si>
  <si>
    <t>Annual Ridership Difference</t>
  </si>
  <si>
    <t xml:space="preserve">Subtotal VMT Reductions </t>
  </si>
  <si>
    <t>Metric Tons</t>
  </si>
  <si>
    <t>Diesel Gals</t>
  </si>
  <si>
    <t>Miles per Year</t>
  </si>
  <si>
    <r>
      <t>Diesel - CO</t>
    </r>
    <r>
      <rPr>
        <b/>
        <vertAlign val="subscript"/>
        <sz val="11"/>
        <color theme="1"/>
        <rFont val="Arial"/>
        <family val="2"/>
      </rPr>
      <t>2</t>
    </r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</si>
  <si>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</si>
  <si>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(lbs)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</si>
  <si>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 Saved (metric tons)</t>
    </r>
  </si>
  <si>
    <r>
      <t>Total 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Cost Savings</t>
    </r>
  </si>
  <si>
    <r>
      <t>Metric ton (used for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emissions)</t>
    </r>
  </si>
  <si>
    <r>
      <t>g 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/ Mile</t>
    </r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</si>
  <si>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Emmissions** Short Tons</t>
    </r>
  </si>
  <si>
    <t>diesel</t>
  </si>
  <si>
    <t>Savings per Gallon</t>
  </si>
  <si>
    <t>Average Buses</t>
  </si>
  <si>
    <t>Average Days per Year</t>
  </si>
  <si>
    <t>Total Annual Labor Savings</t>
  </si>
  <si>
    <t>Avg Hourly Wage for Maintenance Employee</t>
  </si>
  <si>
    <t>SUMMARY</t>
  </si>
  <si>
    <t>Diesel Buses</t>
  </si>
  <si>
    <t>CNG Buses</t>
  </si>
  <si>
    <t>Number of Buses</t>
  </si>
  <si>
    <t>Percent of Total Buses</t>
  </si>
  <si>
    <t>Gallons of Fuel Saved per Hour of Wait Time</t>
  </si>
  <si>
    <t>Yearly Hours Saved</t>
  </si>
  <si>
    <t>Yearly Cost Savings</t>
  </si>
  <si>
    <t>THIS MESSAGE WAS FOR ORIGINAL STUDY ONLY</t>
  </si>
  <si>
    <t>Roundtrip Deadhead Hours Savings</t>
  </si>
  <si>
    <t>Roundtrip Deadhead Mile Savings</t>
  </si>
  <si>
    <t>Total Annual Savings per Expanded Bus</t>
  </si>
  <si>
    <t>Deadhead miles per refueling</t>
  </si>
  <si>
    <t>Cost per Mile</t>
  </si>
  <si>
    <t>Deadhead Mile Savings</t>
  </si>
  <si>
    <t>Employee Hour Savings per Refueling</t>
  </si>
  <si>
    <t>Employee Cost Savings</t>
  </si>
  <si>
    <t>Total Cost Savings</t>
  </si>
  <si>
    <t>252 service days multiplied by 47 CNG buses</t>
  </si>
  <si>
    <t>CNG Bus Refuelings per Year</t>
  </si>
  <si>
    <t>Time Savings (min)</t>
  </si>
  <si>
    <t>Total Annual Farebox Savings</t>
  </si>
  <si>
    <t>Miles/year/bus (diesel)</t>
  </si>
  <si>
    <t>Cost - CNG</t>
  </si>
  <si>
    <t>Gallons - Diesel</t>
  </si>
  <si>
    <t>Cost - Diesel</t>
  </si>
  <si>
    <t>Gallons - CNG DGE</t>
  </si>
  <si>
    <t>Central w/o Garage (Daily)</t>
  </si>
  <si>
    <t>Central w/garage</t>
  </si>
  <si>
    <t xml:space="preserve">Source for Incident Costs:  2016 </t>
  </si>
  <si>
    <t>BCA Reference Guide 2016</t>
  </si>
  <si>
    <t>AIS 0</t>
  </si>
  <si>
    <t>http://www.rita.dot.gov/bts/sites/rita.dot.gov.bts/files/publications/state_transportation_statistics/state_transportation_statistics_2011/html/table_05_03.html</t>
  </si>
  <si>
    <t>United States Department of Transportation, Table 5-3 Highway Vehicle Miles traveled</t>
  </si>
  <si>
    <t>UT Tot VMT 2016</t>
  </si>
  <si>
    <t>Labor Savings</t>
  </si>
  <si>
    <t>Fuel Cost Savings</t>
  </si>
  <si>
    <t>AAGR</t>
  </si>
  <si>
    <t>Deadhead Hour Savings</t>
  </si>
  <si>
    <t>CNG Bus Refueling Savings</t>
  </si>
  <si>
    <t>Farebox Labor Savings</t>
  </si>
  <si>
    <t>Farebox Fuel Savings</t>
  </si>
  <si>
    <t>CPI Factor</t>
  </si>
  <si>
    <t>Utility Cost Savings</t>
  </si>
  <si>
    <t xml:space="preserve">Injury crashes </t>
  </si>
  <si>
    <t>Fatal</t>
  </si>
  <si>
    <t>Cost Savings per VMT</t>
  </si>
  <si>
    <t>2010 Population - Utah</t>
  </si>
  <si>
    <t>2020 Population - Utah</t>
  </si>
  <si>
    <t>2030 Population - Utah</t>
  </si>
  <si>
    <t>Population</t>
  </si>
  <si>
    <t>Absolute Growth</t>
  </si>
  <si>
    <t>NA</t>
  </si>
  <si>
    <t>Fuel Price Per Gallon - CNG</t>
  </si>
  <si>
    <t>Fuel Price Per Gallon - Diesel</t>
  </si>
  <si>
    <t>DGE cost</t>
  </si>
  <si>
    <t>New Tech Center</t>
  </si>
  <si>
    <t>Existing Facility</t>
  </si>
  <si>
    <t>Central (Daily Ridership)</t>
  </si>
  <si>
    <t>New CNGs</t>
  </si>
  <si>
    <t>Total CNGs</t>
  </si>
  <si>
    <t>NEW CNGs</t>
  </si>
  <si>
    <t>Electric Bus Schedule</t>
  </si>
  <si>
    <t>New Electric Buses</t>
  </si>
  <si>
    <t>Total Electric Buses</t>
  </si>
  <si>
    <t>Growth</t>
  </si>
  <si>
    <t>From</t>
  </si>
  <si>
    <t>Cost of a CNG bus</t>
  </si>
  <si>
    <t>CNG diesel gallon equivalent</t>
  </si>
  <si>
    <t>kwH diesel gallon equivalent</t>
  </si>
  <si>
    <t>CPI May 1988</t>
  </si>
  <si>
    <t>CPI May 2018</t>
  </si>
  <si>
    <t>1a.  EMISSIONS REDUCTIONS AND SAVINGS - NOx, PM and VOC - from USE OF CNG, ELECTRIC, AND CLEAN DIESEL (manuf. &gt;2009) BUSES</t>
  </si>
  <si>
    <t>Diesel (manuf.&lt;2010)</t>
  </si>
  <si>
    <t>Electric</t>
  </si>
  <si>
    <t>EPA Clean Diesel (2010 - )</t>
  </si>
  <si>
    <t>Emission type</t>
  </si>
  <si>
    <t>Cost per Metric Ton  (2205#/metric ton)</t>
  </si>
  <si>
    <t>Price of kWh/DGE</t>
  </si>
  <si>
    <t>Clean Diesel</t>
  </si>
  <si>
    <t xml:space="preserve"># of </t>
  </si>
  <si>
    <t>Electric Bus</t>
  </si>
  <si>
    <t>Electric CAP</t>
  </si>
  <si>
    <t>Clean D CAP</t>
  </si>
  <si>
    <t>Old Diesel CAP</t>
  </si>
  <si>
    <r>
      <t>Non-CO</t>
    </r>
    <r>
      <rPr>
        <b/>
        <vertAlign val="subscript"/>
        <sz val="11"/>
        <color rgb="FF0070C0"/>
        <rFont val="Arial"/>
        <family val="2"/>
      </rPr>
      <t>2</t>
    </r>
  </si>
  <si>
    <t># of CNG Buses</t>
  </si>
  <si>
    <t># of Electric Buses</t>
  </si>
  <si>
    <t>Clean Diesel Buses</t>
  </si>
  <si>
    <t>1b.  EMISSIONS REDUCTIONS AND SAVINGS - CO2 - FROM USE OF CNG, ELECTRIC, AND CLEAN DIESEL (manuf. &gt;2009) BUSES</t>
  </si>
  <si>
    <r>
      <t>CO</t>
    </r>
    <r>
      <rPr>
        <b/>
        <vertAlign val="subscript"/>
        <sz val="11"/>
        <color rgb="FF0070C0"/>
        <rFont val="Arial"/>
        <family val="2"/>
      </rPr>
      <t>2</t>
    </r>
    <r>
      <rPr>
        <b/>
        <sz val="11"/>
        <color rgb="FF0070C0"/>
        <rFont val="Arial"/>
        <family val="2"/>
      </rPr>
      <t xml:space="preserve"> Costs</t>
    </r>
  </si>
  <si>
    <r>
      <t>CO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Metric Tons</t>
    </r>
  </si>
  <si>
    <t>1c.  EMISSIONS REDUCTIONS AND SAVINGS - NOx, PM and VOC - from increased ridership and reduced VMTs</t>
  </si>
  <si>
    <t>Cost per Long Ton  (2240#/long ton, 2205#/metric ton, 2000#/short ton)</t>
  </si>
  <si>
    <t>Grams/metric ton</t>
  </si>
  <si>
    <t>See yearly table</t>
  </si>
  <si>
    <t>2013 Values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</si>
  <si>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Cost/Metric Ton</t>
    </r>
  </si>
  <si>
    <r>
      <t>Total CO</t>
    </r>
    <r>
      <rPr>
        <b/>
        <vertAlign val="subscript"/>
        <sz val="11"/>
        <color rgb="FF0070C0"/>
        <rFont val="Calibri"/>
        <family val="2"/>
        <scheme val="minor"/>
      </rPr>
      <t>2</t>
    </r>
    <r>
      <rPr>
        <b/>
        <sz val="11"/>
        <color rgb="FF0070C0"/>
        <rFont val="Calibri"/>
        <family val="2"/>
        <scheme val="minor"/>
      </rPr>
      <t xml:space="preserve"> Cost Savings</t>
    </r>
  </si>
  <si>
    <t>NO saved (long tons)</t>
  </si>
  <si>
    <t>Particulates Saved (long tons)</t>
  </si>
  <si>
    <r>
      <t>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Saved (long tons)</t>
    </r>
  </si>
  <si>
    <t>VOCs Saved (long tons)</t>
  </si>
  <si>
    <r>
      <t>APPENDIX A - CO</t>
    </r>
    <r>
      <rPr>
        <b/>
        <sz val="7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COST SAVINGS</t>
    </r>
  </si>
  <si>
    <r>
      <t>APPENDIX B - Non-CO</t>
    </r>
    <r>
      <rPr>
        <b/>
        <sz val="7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Benefits</t>
    </r>
  </si>
  <si>
    <t>Averate UT fuel cost per gallon 2018</t>
  </si>
  <si>
    <t>https://www.fhwa.dot.gov/policyinformation/tables/vmt/vmt_forecast_sum.cfm</t>
  </si>
  <si>
    <t xml:space="preserve">Historical gas price growth </t>
  </si>
  <si>
    <t>Service Employee Cost per Hour</t>
  </si>
  <si>
    <t>x</t>
  </si>
  <si>
    <t>2018 BCA Guidance ($2016)</t>
  </si>
  <si>
    <r>
      <t>CO</t>
    </r>
    <r>
      <rPr>
        <b/>
        <sz val="7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Benefits (CNG and Electric)</t>
    </r>
  </si>
  <si>
    <r>
      <t>Non-CO</t>
    </r>
    <r>
      <rPr>
        <b/>
        <sz val="7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Benefits (CNG and Electric)</t>
    </r>
  </si>
  <si>
    <t>Subtotal Air Quality Enhansements (CNG and Electric)</t>
  </si>
  <si>
    <t>NOx,  PM, VOC, SO2 (VMTs Reduced)</t>
  </si>
  <si>
    <r>
      <t>CO</t>
    </r>
    <r>
      <rPr>
        <b/>
        <sz val="7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Reduced (Reduced VMTs)</t>
    </r>
  </si>
  <si>
    <t>Subtotal Economic Competitiveness</t>
  </si>
  <si>
    <t>https://www.udot.utah.gov/main/uconowner.gf?n=36418522778889648</t>
  </si>
  <si>
    <t>UT Tot Crash 2016</t>
  </si>
  <si>
    <t>https://highwaysafety.utah.gov/wp-content/uploads/sites/22/2015/02/UtahCrashSummary2016-2.pdf</t>
  </si>
  <si>
    <t>2016 Utah Public Safety Crash Manual</t>
  </si>
  <si>
    <t>Property damage only</t>
  </si>
  <si>
    <t>Diesel Bus Cost</t>
  </si>
  <si>
    <t>Increased cost of CNG bus over diesel bus ($2018)</t>
  </si>
  <si>
    <t>Expanded Buses (Buses Moved from Meadowbrook)</t>
  </si>
  <si>
    <t>Redevelopment</t>
  </si>
  <si>
    <t>Budgeted Fuel Price per Gallon</t>
  </si>
  <si>
    <t>Incorporating LEED Gold  Sustainable and net-zero technologies.</t>
  </si>
  <si>
    <t>Expected Power usage reduction,</t>
  </si>
  <si>
    <t xml:space="preserve"> Plus generate 1.13 MW of power with photovoltaic solar panels ~ $100,000 per year savings and sell excess back to the grid</t>
  </si>
  <si>
    <r>
      <t>Analysis #2-</t>
    </r>
    <r>
      <rPr>
        <sz val="11"/>
        <color theme="1"/>
        <rFont val="Calibri"/>
        <family val="2"/>
        <scheme val="minor"/>
      </rPr>
      <t xml:space="preserve"> Draft from RNL</t>
    </r>
  </si>
  <si>
    <t>Plus photovoltaic savings</t>
  </si>
  <si>
    <t>Total Expected (annual)</t>
  </si>
  <si>
    <t>Energy Efficiency*=</t>
  </si>
  <si>
    <t xml:space="preserve"> *Plus generate 1.13 MW of power with photovoltaic solar panels ~ $100,000 per year savings and sell excess back to the grid</t>
  </si>
  <si>
    <t>Additional Costs of Electric Buses</t>
  </si>
  <si>
    <t>Electric DGE per Year</t>
  </si>
  <si>
    <t>Miles/DGE=</t>
  </si>
  <si>
    <t>Miles/gallon =</t>
  </si>
  <si>
    <t>UTA recent operating data for diesel and CNG buses.</t>
  </si>
  <si>
    <t>Diesel / CNG ratio=</t>
  </si>
  <si>
    <t>Accum Net</t>
  </si>
  <si>
    <t>Electric GHG</t>
  </si>
  <si>
    <t>Electric Cost</t>
  </si>
  <si>
    <t>CNG Fuel Cost</t>
  </si>
  <si>
    <t>Electric Fuel Cost</t>
  </si>
  <si>
    <t>Accum</t>
  </si>
  <si>
    <t>of Electric Buses</t>
  </si>
  <si>
    <t>Residual Value</t>
  </si>
  <si>
    <t>Useful life of facility in years</t>
  </si>
  <si>
    <t>Years in analysis</t>
  </si>
  <si>
    <t>Useful life remaining</t>
  </si>
  <si>
    <t>Project Cost</t>
  </si>
  <si>
    <t>Battery Charge per Year</t>
  </si>
  <si>
    <t>RESIDUAL VALUE - GARAGE BUILDING</t>
  </si>
  <si>
    <t>BATTERY AMORTIZATION LEASING COSTS</t>
  </si>
  <si>
    <t>New Electric Busses</t>
  </si>
  <si>
    <t>Annual Leasing Cost per Battery</t>
  </si>
  <si>
    <t>Cumulative Electric Buses</t>
  </si>
  <si>
    <t>Annual Battery Leasing Costs</t>
  </si>
  <si>
    <t>Annual Costs of Electric Bus Batteries - Leasing</t>
  </si>
  <si>
    <t>Annual Vehicle Maintenance Costs</t>
  </si>
  <si>
    <t>Diesel Gas</t>
  </si>
  <si>
    <t>Electric Lease</t>
  </si>
  <si>
    <t>Fuel Efficiency (miles per gallon)</t>
  </si>
  <si>
    <t>Parts, Mid-Life Refurb, Maintenance</t>
  </si>
  <si>
    <t>Annual Operating Costs</t>
  </si>
  <si>
    <t>Reduced Operating Costs - (Electric Savings over Diesel Fuel)</t>
  </si>
  <si>
    <t>Annual Operating Cost Savings - Parts and Repair</t>
  </si>
  <si>
    <t>Electric Buses</t>
  </si>
  <si>
    <t>Annual Costs</t>
  </si>
  <si>
    <t>Annual Savings</t>
  </si>
  <si>
    <t>Reduced Operating Costs (Parts &amp; Repair) CNG</t>
  </si>
  <si>
    <t>Reduced Operating Costs (Parts &amp; Repair) Electric</t>
  </si>
  <si>
    <t>Operating Cost Savings - VMT Reduction</t>
  </si>
  <si>
    <t>Average cost per mile fo rmaintenance, repair and tires</t>
  </si>
  <si>
    <t>Insurance, license and depreciation per year</t>
  </si>
  <si>
    <t>Average vehicle miles pe ryear</t>
  </si>
  <si>
    <t>Average cost per mile for insurance, license and depreciation</t>
  </si>
  <si>
    <t>Total Operating and Repair Costs per Vehicle Mile</t>
  </si>
  <si>
    <t>https://www.fool.com/investing/general/2015/01/25/the-average-american-drives-this-much-each-year-ho.aspx</t>
  </si>
  <si>
    <t>https://exchange.aaa.com/wp-content/uploads/2017/08/17-0013_Your-Driving-Costs-Brochure-2017-FNL-CX-1.pdf</t>
  </si>
  <si>
    <t>Increased Bus Pass Costs</t>
  </si>
  <si>
    <t>Daily Difference in Ridership</t>
  </si>
  <si>
    <t>Annual Bus Pass Cost</t>
  </si>
  <si>
    <t>Op &amp; Analytics Tool</t>
  </si>
  <si>
    <t>UTA Human Resources</t>
  </si>
  <si>
    <t>Number of Buses Awaiting Fueling/Farebox</t>
  </si>
  <si>
    <t>Chris Nelson research</t>
  </si>
  <si>
    <t>CNG Savings</t>
  </si>
  <si>
    <t>Electric Savings</t>
  </si>
  <si>
    <t>Utah Crash Summary 2016</t>
  </si>
  <si>
    <t>Non-Incapacitated Injured People</t>
  </si>
  <si>
    <t>Incapacitated Injured People</t>
  </si>
  <si>
    <t>People Possibly Injured</t>
  </si>
  <si>
    <t>People Not Injured</t>
  </si>
  <si>
    <t>People Killed</t>
  </si>
  <si>
    <t>% of Total</t>
  </si>
  <si>
    <t>Total Injured People (Not Killed</t>
  </si>
  <si>
    <t>Estimated Operating Cost Savings</t>
  </si>
  <si>
    <t>Fare Revenue per Rider</t>
  </si>
  <si>
    <t>$1.11 average fare multiplied by 292 days</t>
  </si>
  <si>
    <t>Based on 36,000 miles per year</t>
  </si>
  <si>
    <t>Declining factor in electric bus cost</t>
  </si>
  <si>
    <t>Cost of an Electric Bus (assumes battery lease)</t>
  </si>
  <si>
    <t>Increased Initial Cost of an Electric Bus</t>
  </si>
  <si>
    <t>Has not been used; inflation factor which is similar has also not been used; offsetting</t>
  </si>
  <si>
    <t>Summary Table</t>
  </si>
  <si>
    <t>Increased Bus Fare Costs</t>
  </si>
  <si>
    <t>Enviromnental Protection</t>
  </si>
  <si>
    <t>Additional Cost of CNG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</si>
</sst>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mmm\-yy;@"/>
    <numFmt numFmtId="168" formatCode="0.000"/>
    <numFmt numFmtId="169" formatCode="&quot;$&quot;#,##0.00"/>
    <numFmt numFmtId="170" formatCode="_(&quot;$&quot;* #,##0.000_);_(&quot;$&quot;* \(#,##0.000\);_(&quot;$&quot;* &quot;-&quot;??_);_(@_)"/>
    <numFmt numFmtId="171" formatCode="&quot;$&quot;#,##0.000_);\(&quot;$&quot;#,##0.000\)"/>
    <numFmt numFmtId="172" formatCode="0.0%"/>
    <numFmt numFmtId="173" formatCode="&quot;$&quot;#,##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vertAlign val="subscript"/>
      <sz val="11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vertAlign val="subscript"/>
      <sz val="11"/>
      <color rgb="FF0070C0"/>
      <name val="Arial"/>
      <family val="2"/>
    </font>
    <font>
      <i/>
      <sz val="11"/>
      <color rgb="FF0070C0"/>
      <name val="Calibri"/>
      <family val="2"/>
      <scheme val="minor"/>
    </font>
    <font>
      <b/>
      <vertAlign val="subscript"/>
      <sz val="11"/>
      <color rgb="FF0070C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92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44" fontId="0" fillId="0" borderId="0" xfId="2" applyFont="1"/>
    <xf numFmtId="0" fontId="0" fillId="0" borderId="0" xfId="0" applyFill="1"/>
    <xf numFmtId="9" fontId="0" fillId="0" borderId="0" xfId="3" applyFont="1"/>
    <xf numFmtId="166" fontId="0" fillId="0" borderId="0" xfId="2" applyNumberFormat="1" applyFont="1"/>
    <xf numFmtId="9" fontId="2" fillId="0" borderId="0" xfId="3" applyFont="1"/>
    <xf numFmtId="0" fontId="3" fillId="0" borderId="0" xfId="0" applyFont="1"/>
    <xf numFmtId="9" fontId="3" fillId="0" borderId="0" xfId="3" applyFont="1"/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left"/>
    </xf>
    <xf numFmtId="1" fontId="0" fillId="0" borderId="0" xfId="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left"/>
    </xf>
    <xf numFmtId="44" fontId="0" fillId="0" borderId="0" xfId="2" applyFont="1" applyAlignment="1">
      <alignment horizontal="center"/>
    </xf>
    <xf numFmtId="0" fontId="0" fillId="0" borderId="0" xfId="0" applyAlignment="1">
      <alignment horizontal="right"/>
    </xf>
    <xf numFmtId="167" fontId="0" fillId="0" borderId="0" xfId="0" quotePrefix="1" applyNumberFormat="1" applyAlignment="1">
      <alignment horizontal="left"/>
    </xf>
    <xf numFmtId="9" fontId="0" fillId="0" borderId="0" xfId="3" applyFont="1" applyAlignment="1">
      <alignment horizontal="center"/>
    </xf>
    <xf numFmtId="164" fontId="0" fillId="0" borderId="0" xfId="2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37" fontId="0" fillId="0" borderId="0" xfId="0" applyNumberFormat="1"/>
    <xf numFmtId="3" fontId="0" fillId="0" borderId="1" xfId="0" applyNumberFormat="1" applyBorder="1"/>
    <xf numFmtId="37" fontId="0" fillId="0" borderId="1" xfId="0" applyNumberFormat="1" applyBorder="1"/>
    <xf numFmtId="167" fontId="5" fillId="4" borderId="0" xfId="0" applyNumberFormat="1" applyFont="1" applyFill="1" applyBorder="1" applyAlignment="1">
      <alignment horizontal="left"/>
    </xf>
    <xf numFmtId="0" fontId="0" fillId="4" borderId="0" xfId="0" applyFont="1" applyFill="1" applyBorder="1"/>
    <xf numFmtId="0" fontId="0" fillId="4" borderId="1" xfId="0" applyFont="1" applyFill="1" applyBorder="1"/>
    <xf numFmtId="167" fontId="2" fillId="4" borderId="0" xfId="0" applyNumberFormat="1" applyFont="1" applyFill="1" applyBorder="1" applyAlignment="1">
      <alignment horizontal="left"/>
    </xf>
    <xf numFmtId="1" fontId="2" fillId="4" borderId="0" xfId="2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1" xfId="0" applyFont="1" applyFill="1" applyBorder="1"/>
    <xf numFmtId="167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 applyAlignment="1">
      <alignment horizontal="center"/>
    </xf>
    <xf numFmtId="167" fontId="2" fillId="0" borderId="0" xfId="0" quotePrefix="1" applyNumberFormat="1" applyFont="1" applyAlignment="1">
      <alignment horizontal="left"/>
    </xf>
    <xf numFmtId="1" fontId="2" fillId="0" borderId="10" xfId="2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/>
    <xf numFmtId="3" fontId="2" fillId="0" borderId="10" xfId="0" applyNumberFormat="1" applyFont="1" applyBorder="1"/>
    <xf numFmtId="3" fontId="0" fillId="0" borderId="1" xfId="0" applyNumberFormat="1" applyBorder="1" applyAlignment="1">
      <alignment horizontal="right"/>
    </xf>
    <xf numFmtId="3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left"/>
    </xf>
    <xf numFmtId="8" fontId="0" fillId="0" borderId="0" xfId="0" applyNumberFormat="1"/>
    <xf numFmtId="1" fontId="0" fillId="0" borderId="1" xfId="0" applyNumberFormat="1" applyBorder="1" applyAlignment="1">
      <alignment horizontal="center"/>
    </xf>
    <xf numFmtId="9" fontId="0" fillId="0" borderId="1" xfId="3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6" fontId="2" fillId="0" borderId="0" xfId="0" applyNumberFormat="1" applyFont="1"/>
    <xf numFmtId="0" fontId="0" fillId="5" borderId="0" xfId="0" applyFill="1"/>
    <xf numFmtId="0" fontId="2" fillId="5" borderId="0" xfId="0" applyFont="1" applyFill="1"/>
    <xf numFmtId="164" fontId="0" fillId="0" borderId="8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44" fontId="0" fillId="0" borderId="0" xfId="2" applyFont="1" applyFill="1" applyBorder="1"/>
    <xf numFmtId="164" fontId="0" fillId="0" borderId="0" xfId="0" applyNumberFormat="1" applyBorder="1"/>
    <xf numFmtId="44" fontId="0" fillId="0" borderId="0" xfId="0" applyNumberFormat="1" applyFill="1" applyBorder="1"/>
    <xf numFmtId="9" fontId="0" fillId="0" borderId="0" xfId="3" applyFont="1" applyFill="1" applyBorder="1"/>
    <xf numFmtId="0" fontId="2" fillId="0" borderId="0" xfId="0" applyFont="1" applyFill="1" applyBorder="1" applyAlignment="1">
      <alignment horizontal="center"/>
    </xf>
    <xf numFmtId="44" fontId="0" fillId="0" borderId="0" xfId="2" applyNumberFormat="1" applyFont="1" applyFill="1" applyBorder="1"/>
    <xf numFmtId="166" fontId="0" fillId="0" borderId="0" xfId="2" applyNumberFormat="1" applyFont="1" applyFill="1" applyBorder="1"/>
    <xf numFmtId="165" fontId="0" fillId="0" borderId="0" xfId="1" applyNumberFormat="1" applyFont="1" applyFill="1" applyBorder="1"/>
    <xf numFmtId="0" fontId="8" fillId="0" borderId="0" xfId="0" applyFont="1" applyAlignment="1">
      <alignment wrapText="1"/>
    </xf>
    <xf numFmtId="20" fontId="0" fillId="0" borderId="0" xfId="0" applyNumberFormat="1"/>
    <xf numFmtId="0" fontId="9" fillId="0" borderId="0" xfId="0" applyFont="1"/>
    <xf numFmtId="2" fontId="9" fillId="0" borderId="0" xfId="0" applyNumberFormat="1" applyFont="1"/>
    <xf numFmtId="0" fontId="11" fillId="0" borderId="0" xfId="0" applyFont="1"/>
    <xf numFmtId="43" fontId="0" fillId="0" borderId="0" xfId="1" applyFont="1"/>
    <xf numFmtId="43" fontId="0" fillId="0" borderId="0" xfId="0" applyNumberFormat="1"/>
    <xf numFmtId="168" fontId="0" fillId="0" borderId="0" xfId="2" applyNumberFormat="1" applyFont="1"/>
    <xf numFmtId="0" fontId="11" fillId="6" borderId="2" xfId="0" applyFont="1" applyFill="1" applyBorder="1"/>
    <xf numFmtId="44" fontId="0" fillId="6" borderId="3" xfId="2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168" fontId="0" fillId="0" borderId="0" xfId="0" applyNumberFormat="1"/>
    <xf numFmtId="164" fontId="0" fillId="0" borderId="0" xfId="2" applyNumberFormat="1" applyFont="1"/>
    <xf numFmtId="164" fontId="2" fillId="0" borderId="0" xfId="0" applyNumberFormat="1" applyFont="1"/>
    <xf numFmtId="164" fontId="2" fillId="0" borderId="0" xfId="2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69" fontId="12" fillId="0" borderId="0" xfId="2" applyNumberFormat="1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/>
    <xf numFmtId="3" fontId="0" fillId="0" borderId="10" xfId="0" applyNumberFormat="1" applyBorder="1"/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/>
    <xf numFmtId="0" fontId="0" fillId="0" borderId="0" xfId="0" applyBorder="1" applyAlignment="1">
      <alignment horizontal="right"/>
    </xf>
    <xf numFmtId="3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69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quotePrefix="1"/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quotePrefix="1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169" fontId="12" fillId="0" borderId="0" xfId="2" applyNumberFormat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8" xfId="0" applyBorder="1"/>
    <xf numFmtId="0" fontId="2" fillId="4" borderId="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0" borderId="8" xfId="0" applyFont="1" applyBorder="1"/>
    <xf numFmtId="0" fontId="13" fillId="0" borderId="0" xfId="0" applyFont="1"/>
    <xf numFmtId="170" fontId="0" fillId="0" borderId="0" xfId="2" applyNumberFormat="1" applyFont="1"/>
    <xf numFmtId="44" fontId="2" fillId="0" borderId="0" xfId="0" applyNumberFormat="1" applyFont="1"/>
    <xf numFmtId="167" fontId="1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67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0" fillId="0" borderId="10" xfId="2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3" fillId="0" borderId="1" xfId="0" applyFont="1" applyBorder="1"/>
    <xf numFmtId="0" fontId="2" fillId="4" borderId="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13" fillId="0" borderId="9" xfId="0" applyFont="1" applyBorder="1"/>
    <xf numFmtId="9" fontId="13" fillId="0" borderId="1" xfId="3" applyFont="1" applyBorder="1"/>
    <xf numFmtId="164" fontId="2" fillId="0" borderId="0" xfId="0" applyNumberFormat="1" applyFont="1" applyBorder="1"/>
    <xf numFmtId="9" fontId="0" fillId="0" borderId="0" xfId="3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9" fontId="3" fillId="0" borderId="0" xfId="3" applyFont="1" applyBorder="1" applyAlignment="1">
      <alignment horizontal="right"/>
    </xf>
    <xf numFmtId="9" fontId="3" fillId="0" borderId="0" xfId="3" applyFont="1" applyAlignment="1">
      <alignment horizontal="right"/>
    </xf>
    <xf numFmtId="0" fontId="2" fillId="4" borderId="17" xfId="0" applyFont="1" applyFill="1" applyBorder="1" applyAlignment="1">
      <alignment horizontal="center" wrapText="1"/>
    </xf>
    <xf numFmtId="164" fontId="0" fillId="0" borderId="18" xfId="0" applyNumberFormat="1" applyFont="1" applyFill="1" applyBorder="1" applyAlignment="1">
      <alignment horizontal="right" wrapText="1"/>
    </xf>
    <xf numFmtId="164" fontId="2" fillId="0" borderId="0" xfId="2" applyNumberFormat="1" applyFont="1" applyBorder="1"/>
    <xf numFmtId="9" fontId="13" fillId="0" borderId="14" xfId="3" applyFont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3" applyFont="1" applyAlignment="1">
      <alignment horizontal="center" vertical="center"/>
    </xf>
    <xf numFmtId="165" fontId="0" fillId="0" borderId="0" xfId="1" applyNumberFormat="1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NumberFormat="1"/>
    <xf numFmtId="0" fontId="0" fillId="0" borderId="0" xfId="0" quotePrefix="1" applyNumberFormat="1" applyBorder="1" applyAlignment="1">
      <alignment horizontal="right"/>
    </xf>
    <xf numFmtId="165" fontId="0" fillId="0" borderId="0" xfId="1" applyNumberFormat="1" applyFont="1" applyFill="1"/>
    <xf numFmtId="165" fontId="2" fillId="3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0" xfId="1" applyNumberFormat="1" applyFont="1"/>
    <xf numFmtId="0" fontId="0" fillId="0" borderId="0" xfId="0" applyFont="1" applyAlignment="1">
      <alignment horizontal="right" wrapText="1"/>
    </xf>
    <xf numFmtId="4" fontId="0" fillId="0" borderId="0" xfId="0" applyNumberFormat="1"/>
    <xf numFmtId="0" fontId="2" fillId="3" borderId="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165" fontId="0" fillId="0" borderId="0" xfId="1" applyNumberFormat="1" applyFont="1" applyBorder="1"/>
    <xf numFmtId="171" fontId="0" fillId="0" borderId="0" xfId="1" applyNumberFormat="1" applyFont="1" applyAlignment="1">
      <alignment wrapText="1"/>
    </xf>
    <xf numFmtId="2" fontId="0" fillId="0" borderId="0" xfId="0" applyNumberFormat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0" xfId="2" applyFont="1" applyBorder="1"/>
    <xf numFmtId="0" fontId="0" fillId="0" borderId="16" xfId="0" applyBorder="1"/>
    <xf numFmtId="0" fontId="2" fillId="0" borderId="16" xfId="0" applyFont="1" applyBorder="1" applyAlignment="1">
      <alignment horizontal="center" wrapText="1"/>
    </xf>
    <xf numFmtId="0" fontId="2" fillId="0" borderId="16" xfId="0" applyFont="1" applyBorder="1"/>
    <xf numFmtId="3" fontId="0" fillId="0" borderId="16" xfId="0" applyNumberFormat="1" applyBorder="1"/>
    <xf numFmtId="4" fontId="0" fillId="0" borderId="16" xfId="0" applyNumberFormat="1" applyBorder="1"/>
    <xf numFmtId="166" fontId="0" fillId="0" borderId="0" xfId="2" applyNumberFormat="1" applyFont="1" applyBorder="1"/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169" fontId="0" fillId="0" borderId="0" xfId="2" applyNumberFormat="1" applyFont="1"/>
    <xf numFmtId="165" fontId="2" fillId="4" borderId="16" xfId="1" applyNumberFormat="1" applyFont="1" applyFill="1" applyBorder="1" applyAlignment="1">
      <alignment horizontal="center"/>
    </xf>
    <xf numFmtId="165" fontId="0" fillId="0" borderId="16" xfId="1" applyNumberFormat="1" applyFont="1" applyBorder="1" applyAlignment="1">
      <alignment horizontal="left"/>
    </xf>
    <xf numFmtId="164" fontId="0" fillId="0" borderId="16" xfId="1" applyNumberFormat="1" applyFont="1" applyBorder="1" applyAlignment="1"/>
    <xf numFmtId="164" fontId="0" fillId="0" borderId="16" xfId="1" applyNumberFormat="1" applyFont="1" applyFill="1" applyBorder="1" applyAlignment="1"/>
    <xf numFmtId="165" fontId="0" fillId="0" borderId="17" xfId="1" applyNumberFormat="1" applyFont="1" applyBorder="1" applyAlignment="1">
      <alignment horizontal="left"/>
    </xf>
    <xf numFmtId="164" fontId="0" fillId="0" borderId="7" xfId="1" applyNumberFormat="1" applyFont="1" applyFill="1" applyBorder="1" applyAlignment="1"/>
    <xf numFmtId="164" fontId="0" fillId="0" borderId="15" xfId="1" applyNumberFormat="1" applyFont="1" applyBorder="1" applyAlignment="1"/>
    <xf numFmtId="7" fontId="2" fillId="0" borderId="16" xfId="1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0" fontId="0" fillId="0" borderId="0" xfId="3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/>
    <xf numFmtId="0" fontId="19" fillId="0" borderId="0" xfId="4" applyAlignment="1">
      <alignment vertical="center"/>
    </xf>
    <xf numFmtId="165" fontId="0" fillId="0" borderId="0" xfId="1" applyNumberFormat="1" applyFont="1" applyAlignment="1">
      <alignment horizontal="right"/>
    </xf>
    <xf numFmtId="0" fontId="19" fillId="0" borderId="0" xfId="4"/>
    <xf numFmtId="165" fontId="0" fillId="0" borderId="0" xfId="1" applyNumberFormat="1" applyFont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0" fillId="4" borderId="0" xfId="0" applyFont="1" applyFill="1" applyBorder="1"/>
    <xf numFmtId="0" fontId="2" fillId="4" borderId="1" xfId="0" applyFont="1" applyFill="1" applyBorder="1" applyAlignment="1">
      <alignment horizontal="right" wrapText="1"/>
    </xf>
    <xf numFmtId="43" fontId="2" fillId="4" borderId="1" xfId="0" applyNumberFormat="1" applyFont="1" applyFill="1" applyBorder="1" applyAlignment="1">
      <alignment horizontal="center" wrapText="1"/>
    </xf>
    <xf numFmtId="166" fontId="10" fillId="0" borderId="0" xfId="2" applyNumberFormat="1" applyFont="1" applyFill="1" applyBorder="1" applyAlignment="1">
      <alignment horizontal="center" wrapText="1"/>
    </xf>
    <xf numFmtId="3" fontId="0" fillId="0" borderId="0" xfId="1" applyNumberFormat="1" applyFont="1" applyFill="1" applyBorder="1"/>
    <xf numFmtId="5" fontId="0" fillId="0" borderId="0" xfId="0" applyNumberFormat="1" applyFont="1" applyFill="1" applyBorder="1"/>
    <xf numFmtId="0" fontId="0" fillId="4" borderId="13" xfId="0" applyFill="1" applyBorder="1" applyAlignment="1">
      <alignment horizontal="center" wrapText="1"/>
    </xf>
    <xf numFmtId="5" fontId="0" fillId="0" borderId="12" xfId="0" applyNumberFormat="1" applyFill="1" applyBorder="1" applyAlignment="1">
      <alignment horizontal="right" wrapText="1"/>
    </xf>
    <xf numFmtId="10" fontId="0" fillId="0" borderId="0" xfId="0" applyNumberFormat="1" applyFont="1" applyAlignment="1">
      <alignment horizontal="left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quotePrefix="1" applyNumberFormat="1" applyFont="1" applyAlignment="1">
      <alignment horizontal="left"/>
    </xf>
    <xf numFmtId="0" fontId="0" fillId="0" borderId="0" xfId="0" quotePrefix="1" applyNumberFormat="1" applyAlignment="1">
      <alignment horizontal="right"/>
    </xf>
    <xf numFmtId="0" fontId="0" fillId="0" borderId="1" xfId="0" quotePrefix="1" applyNumberFormat="1" applyBorder="1" applyAlignment="1">
      <alignment horizontal="right"/>
    </xf>
    <xf numFmtId="5" fontId="0" fillId="0" borderId="0" xfId="0" applyNumberFormat="1" applyFont="1" applyFill="1" applyBorder="1" applyAlignment="1">
      <alignment horizontal="right" wrapText="1"/>
    </xf>
    <xf numFmtId="5" fontId="0" fillId="0" borderId="1" xfId="0" applyNumberFormat="1" applyFont="1" applyFill="1" applyBorder="1" applyAlignment="1">
      <alignment horizontal="right" wrapText="1"/>
    </xf>
    <xf numFmtId="1" fontId="0" fillId="0" borderId="0" xfId="2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2" fillId="7" borderId="0" xfId="0" applyFont="1" applyFill="1"/>
    <xf numFmtId="2" fontId="2" fillId="7" borderId="0" xfId="0" applyNumberFormat="1" applyFont="1" applyFill="1" applyBorder="1"/>
    <xf numFmtId="9" fontId="13" fillId="0" borderId="13" xfId="3" applyFont="1" applyBorder="1"/>
    <xf numFmtId="9" fontId="13" fillId="0" borderId="1" xfId="3" applyFont="1" applyFill="1" applyBorder="1"/>
    <xf numFmtId="9" fontId="13" fillId="0" borderId="13" xfId="3" applyFont="1" applyFill="1" applyBorder="1"/>
    <xf numFmtId="164" fontId="2" fillId="0" borderId="18" xfId="2" applyNumberFormat="1" applyFont="1" applyFill="1" applyBorder="1"/>
    <xf numFmtId="0" fontId="0" fillId="0" borderId="0" xfId="0" applyFill="1" applyAlignment="1">
      <alignment wrapText="1"/>
    </xf>
    <xf numFmtId="0" fontId="2" fillId="2" borderId="0" xfId="0" applyFont="1" applyFill="1" applyAlignment="1">
      <alignment wrapText="1"/>
    </xf>
    <xf numFmtId="168" fontId="0" fillId="0" borderId="0" xfId="0" applyNumberFormat="1" applyAlignment="1">
      <alignment horizontal="right" vertical="center"/>
    </xf>
    <xf numFmtId="6" fontId="2" fillId="0" borderId="0" xfId="0" applyNumberFormat="1" applyFont="1" applyFill="1"/>
    <xf numFmtId="0" fontId="8" fillId="0" borderId="0" xfId="0" applyFont="1" applyAlignment="1">
      <alignment horizontal="left" wrapText="1"/>
    </xf>
    <xf numFmtId="3" fontId="18" fillId="0" borderId="0" xfId="0" applyNumberFormat="1" applyFont="1" applyFill="1" applyBorder="1"/>
    <xf numFmtId="44" fontId="0" fillId="0" borderId="0" xfId="2" applyFont="1" applyFill="1" applyAlignment="1">
      <alignment horizontal="center"/>
    </xf>
    <xf numFmtId="164" fontId="2" fillId="0" borderId="0" xfId="0" applyNumberFormat="1" applyFont="1" applyFill="1" applyBorder="1"/>
    <xf numFmtId="170" fontId="1" fillId="0" borderId="0" xfId="2" applyNumberFormat="1" applyFont="1"/>
    <xf numFmtId="170" fontId="2" fillId="0" borderId="16" xfId="2" applyNumberFormat="1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ill="1"/>
    <xf numFmtId="0" fontId="21" fillId="0" borderId="0" xfId="0" applyFont="1"/>
    <xf numFmtId="0" fontId="22" fillId="4" borderId="7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164" fontId="21" fillId="0" borderId="12" xfId="0" applyNumberFormat="1" applyFont="1" applyFill="1" applyBorder="1" applyAlignment="1">
      <alignment horizontal="right" wrapText="1"/>
    </xf>
    <xf numFmtId="9" fontId="23" fillId="0" borderId="13" xfId="3" applyFont="1" applyBorder="1"/>
    <xf numFmtId="166" fontId="2" fillId="4" borderId="15" xfId="2" applyNumberFormat="1" applyFont="1" applyFill="1" applyBorder="1" applyAlignment="1">
      <alignment horizontal="center" wrapText="1"/>
    </xf>
    <xf numFmtId="164" fontId="0" fillId="0" borderId="8" xfId="0" applyNumberFormat="1" applyFill="1" applyBorder="1"/>
    <xf numFmtId="0" fontId="0" fillId="0" borderId="1" xfId="0" quotePrefix="1" applyNumberFormat="1" applyBorder="1" applyAlignment="1">
      <alignment horizontal="left"/>
    </xf>
    <xf numFmtId="43" fontId="0" fillId="8" borderId="0" xfId="1" applyNumberFormat="1" applyFont="1" applyFill="1"/>
    <xf numFmtId="1" fontId="2" fillId="0" borderId="0" xfId="2" applyNumberFormat="1" applyFont="1" applyAlignment="1">
      <alignment horizontal="center"/>
    </xf>
    <xf numFmtId="7" fontId="2" fillId="0" borderId="0" xfId="0" applyNumberFormat="1" applyFont="1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3" fillId="0" borderId="0" xfId="0" applyNumberFormat="1" applyFont="1"/>
    <xf numFmtId="167" fontId="2" fillId="3" borderId="0" xfId="0" applyNumberFormat="1" applyFont="1" applyFill="1" applyBorder="1" applyAlignment="1">
      <alignment horizontal="left"/>
    </xf>
    <xf numFmtId="1" fontId="2" fillId="3" borderId="0" xfId="2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5" fillId="3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2" fillId="0" borderId="0" xfId="0" quotePrefix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1" applyNumberFormat="1" applyFont="1" applyBorder="1"/>
    <xf numFmtId="2" fontId="2" fillId="0" borderId="0" xfId="0" applyNumberFormat="1" applyFont="1" applyBorder="1"/>
    <xf numFmtId="43" fontId="2" fillId="0" borderId="0" xfId="0" applyNumberFormat="1" applyFont="1" applyBorder="1"/>
    <xf numFmtId="42" fontId="0" fillId="0" borderId="0" xfId="0" applyNumberFormat="1" applyFill="1" applyBorder="1" applyAlignment="1">
      <alignment horizontal="center"/>
    </xf>
    <xf numFmtId="9" fontId="3" fillId="0" borderId="0" xfId="3" applyFont="1" applyFill="1" applyBorder="1" applyAlignment="1">
      <alignment horizontal="right"/>
    </xf>
    <xf numFmtId="0" fontId="2" fillId="3" borderId="15" xfId="0" applyFont="1" applyFill="1" applyBorder="1"/>
    <xf numFmtId="165" fontId="0" fillId="0" borderId="8" xfId="1" applyNumberFormat="1" applyFont="1" applyFill="1" applyBorder="1"/>
    <xf numFmtId="165" fontId="2" fillId="0" borderId="8" xfId="1" applyNumberFormat="1" applyFont="1" applyFill="1" applyBorder="1"/>
    <xf numFmtId="165" fontId="0" fillId="0" borderId="16" xfId="1" applyNumberFormat="1" applyFont="1" applyFill="1" applyBorder="1" applyAlignment="1">
      <alignment horizontal="left"/>
    </xf>
    <xf numFmtId="165" fontId="0" fillId="0" borderId="16" xfId="1" applyNumberFormat="1" applyFont="1" applyFill="1" applyBorder="1" applyAlignment="1">
      <alignment wrapText="1"/>
    </xf>
    <xf numFmtId="165" fontId="0" fillId="0" borderId="7" xfId="1" applyNumberFormat="1" applyFont="1" applyFill="1" applyBorder="1"/>
    <xf numFmtId="5" fontId="2" fillId="0" borderId="0" xfId="0" applyNumberFormat="1" applyFont="1" applyFill="1"/>
    <xf numFmtId="3" fontId="0" fillId="0" borderId="1" xfId="1" applyNumberFormat="1" applyFont="1" applyFill="1" applyBorder="1"/>
    <xf numFmtId="5" fontId="0" fillId="0" borderId="1" xfId="0" applyNumberFormat="1" applyFont="1" applyFill="1" applyBorder="1"/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3" applyNumberFormat="1" applyFont="1"/>
    <xf numFmtId="165" fontId="0" fillId="0" borderId="0" xfId="0" applyNumberFormat="1"/>
    <xf numFmtId="0" fontId="0" fillId="0" borderId="0" xfId="2" applyNumberFormat="1" applyFont="1"/>
    <xf numFmtId="169" fontId="0" fillId="0" borderId="0" xfId="1" applyNumberFormat="1" applyFont="1"/>
    <xf numFmtId="169" fontId="0" fillId="6" borderId="11" xfId="0" applyNumberFormat="1" applyFill="1" applyBorder="1"/>
    <xf numFmtId="5" fontId="0" fillId="0" borderId="0" xfId="0" applyNumberFormat="1"/>
    <xf numFmtId="164" fontId="0" fillId="0" borderId="0" xfId="1" applyNumberFormat="1" applyFont="1" applyFill="1" applyBorder="1"/>
    <xf numFmtId="169" fontId="0" fillId="6" borderId="5" xfId="2" applyNumberFormat="1" applyFont="1" applyFill="1" applyBorder="1"/>
    <xf numFmtId="169" fontId="0" fillId="0" borderId="0" xfId="0" applyNumberFormat="1" applyFill="1" applyBorder="1"/>
    <xf numFmtId="0" fontId="0" fillId="9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3" fontId="0" fillId="9" borderId="0" xfId="0" applyNumberFormat="1" applyFill="1" applyAlignment="1">
      <alignment horizontal="right"/>
    </xf>
    <xf numFmtId="3" fontId="0" fillId="9" borderId="1" xfId="0" applyNumberFormat="1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10" borderId="0" xfId="0" applyFill="1"/>
    <xf numFmtId="0" fontId="5" fillId="10" borderId="0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4" fontId="0" fillId="10" borderId="0" xfId="2" applyNumberFormat="1" applyFont="1" applyFill="1" applyAlignment="1">
      <alignment horizontal="right"/>
    </xf>
    <xf numFmtId="164" fontId="0" fillId="10" borderId="1" xfId="2" applyNumberFormat="1" applyFont="1" applyFill="1" applyBorder="1" applyAlignment="1">
      <alignment horizontal="right"/>
    </xf>
    <xf numFmtId="164" fontId="0" fillId="10" borderId="0" xfId="2" applyNumberFormat="1" applyFont="1" applyFill="1" applyBorder="1" applyAlignment="1">
      <alignment horizontal="right"/>
    </xf>
    <xf numFmtId="3" fontId="0" fillId="10" borderId="0" xfId="0" applyNumberFormat="1" applyFill="1" applyAlignment="1">
      <alignment horizontal="right"/>
    </xf>
    <xf numFmtId="164" fontId="0" fillId="9" borderId="0" xfId="2" applyNumberFormat="1" applyFont="1" applyFill="1" applyAlignment="1">
      <alignment horizontal="right"/>
    </xf>
    <xf numFmtId="164" fontId="0" fillId="9" borderId="1" xfId="2" applyNumberFormat="1" applyFont="1" applyFill="1" applyBorder="1" applyAlignment="1">
      <alignment horizontal="right"/>
    </xf>
    <xf numFmtId="164" fontId="0" fillId="9" borderId="0" xfId="2" applyNumberFormat="1" applyFont="1" applyFill="1" applyBorder="1" applyAlignment="1">
      <alignment horizontal="right"/>
    </xf>
    <xf numFmtId="165" fontId="0" fillId="9" borderId="0" xfId="1" applyNumberFormat="1" applyFont="1" applyFill="1" applyAlignment="1">
      <alignment horizontal="center"/>
    </xf>
    <xf numFmtId="0" fontId="0" fillId="10" borderId="0" xfId="0" applyFill="1" applyAlignment="1">
      <alignment horizontal="right"/>
    </xf>
    <xf numFmtId="0" fontId="0" fillId="10" borderId="0" xfId="0" applyFill="1" applyAlignment="1">
      <alignment horizontal="center"/>
    </xf>
    <xf numFmtId="1" fontId="2" fillId="0" borderId="0" xfId="2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3" fontId="2" fillId="1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10" borderId="0" xfId="0" applyNumberFormat="1" applyFont="1" applyFill="1" applyBorder="1" applyAlignment="1">
      <alignment horizontal="right"/>
    </xf>
    <xf numFmtId="3" fontId="2" fillId="9" borderId="0" xfId="0" applyNumberFormat="1" applyFont="1" applyFill="1" applyBorder="1" applyAlignment="1">
      <alignment horizontal="right"/>
    </xf>
    <xf numFmtId="164" fontId="2" fillId="9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5" fontId="2" fillId="0" borderId="0" xfId="0" applyNumberFormat="1" applyFont="1"/>
    <xf numFmtId="5" fontId="2" fillId="0" borderId="0" xfId="2" applyNumberFormat="1" applyFont="1"/>
    <xf numFmtId="164" fontId="2" fillId="0" borderId="12" xfId="0" applyNumberFormat="1" applyFont="1" applyBorder="1"/>
    <xf numFmtId="164" fontId="2" fillId="0" borderId="18" xfId="0" applyNumberFormat="1" applyFont="1" applyBorder="1"/>
    <xf numFmtId="164" fontId="0" fillId="0" borderId="13" xfId="0" applyNumberFormat="1" applyBorder="1"/>
    <xf numFmtId="164" fontId="0" fillId="0" borderId="1" xfId="2" applyNumberFormat="1" applyFont="1" applyBorder="1"/>
    <xf numFmtId="164" fontId="21" fillId="0" borderId="13" xfId="0" applyNumberFormat="1" applyFont="1" applyFill="1" applyBorder="1" applyAlignment="1">
      <alignment horizontal="right" wrapText="1"/>
    </xf>
    <xf numFmtId="5" fontId="0" fillId="0" borderId="1" xfId="0" applyNumberFormat="1" applyBorder="1"/>
    <xf numFmtId="164" fontId="0" fillId="0" borderId="1" xfId="0" applyNumberFormat="1" applyFont="1" applyFill="1" applyBorder="1" applyAlignment="1">
      <alignment horizontal="right" wrapText="1"/>
    </xf>
    <xf numFmtId="165" fontId="0" fillId="0" borderId="1" xfId="1" applyNumberFormat="1" applyFont="1" applyBorder="1"/>
    <xf numFmtId="43" fontId="0" fillId="0" borderId="1" xfId="0" applyNumberFormat="1" applyBorder="1"/>
    <xf numFmtId="165" fontId="2" fillId="0" borderId="16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0" fontId="19" fillId="0" borderId="0" xfId="4" applyFill="1" applyAlignment="1">
      <alignment vertical="center"/>
    </xf>
    <xf numFmtId="165" fontId="1" fillId="0" borderId="16" xfId="1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172" fontId="0" fillId="0" borderId="0" xfId="0" applyNumberFormat="1"/>
    <xf numFmtId="165" fontId="10" fillId="0" borderId="0" xfId="1" applyNumberFormat="1" applyFont="1" applyFill="1" applyBorder="1"/>
    <xf numFmtId="44" fontId="10" fillId="0" borderId="0" xfId="2" applyNumberFormat="1" applyFont="1" applyFill="1" applyBorder="1"/>
    <xf numFmtId="166" fontId="10" fillId="0" borderId="0" xfId="2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 applyBorder="1" applyAlignment="1">
      <alignment horizontal="right" wrapText="1"/>
    </xf>
    <xf numFmtId="44" fontId="10" fillId="0" borderId="0" xfId="2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right" wrapText="1"/>
    </xf>
    <xf numFmtId="0" fontId="0" fillId="0" borderId="0" xfId="2" applyNumberFormat="1" applyFont="1" applyFill="1" applyBorder="1"/>
    <xf numFmtId="164" fontId="0" fillId="0" borderId="0" xfId="2" applyNumberFormat="1" applyFont="1" applyFill="1" applyBorder="1"/>
    <xf numFmtId="44" fontId="2" fillId="0" borderId="0" xfId="2" applyFont="1" applyFill="1" applyBorder="1"/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3" fontId="0" fillId="0" borderId="16" xfId="1" applyNumberFormat="1" applyFont="1" applyBorder="1" applyAlignment="1"/>
    <xf numFmtId="173" fontId="0" fillId="0" borderId="0" xfId="0" applyNumberFormat="1"/>
    <xf numFmtId="0" fontId="0" fillId="4" borderId="0" xfId="0" applyFont="1" applyFill="1" applyAlignment="1">
      <alignment horizontal="left"/>
    </xf>
    <xf numFmtId="0" fontId="0" fillId="4" borderId="0" xfId="0" applyFill="1"/>
    <xf numFmtId="173" fontId="0" fillId="0" borderId="1" xfId="0" applyNumberFormat="1" applyBorder="1"/>
    <xf numFmtId="5" fontId="0" fillId="0" borderId="8" xfId="0" applyNumberFormat="1" applyFont="1" applyFill="1" applyBorder="1" applyAlignment="1">
      <alignment horizontal="right"/>
    </xf>
    <xf numFmtId="172" fontId="0" fillId="11" borderId="0" xfId="0" applyNumberFormat="1" applyFill="1"/>
    <xf numFmtId="169" fontId="0" fillId="0" borderId="0" xfId="2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6" xfId="1" applyNumberFormat="1" applyFont="1" applyBorder="1"/>
    <xf numFmtId="172" fontId="0" fillId="0" borderId="0" xfId="3" applyNumberFormat="1" applyFont="1"/>
    <xf numFmtId="0" fontId="2" fillId="0" borderId="2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wrapText="1"/>
    </xf>
    <xf numFmtId="171" fontId="2" fillId="3" borderId="17" xfId="1" applyNumberFormat="1" applyFont="1" applyFill="1" applyBorder="1" applyAlignment="1">
      <alignment vertical="top"/>
    </xf>
    <xf numFmtId="165" fontId="2" fillId="3" borderId="16" xfId="1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71" fontId="0" fillId="0" borderId="18" xfId="1" applyNumberFormat="1" applyFont="1" applyBorder="1"/>
    <xf numFmtId="5" fontId="0" fillId="4" borderId="12" xfId="1" applyNumberFormat="1" applyFont="1" applyFill="1" applyBorder="1"/>
    <xf numFmtId="44" fontId="0" fillId="4" borderId="0" xfId="2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14" xfId="0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0" fillId="12" borderId="1" xfId="0" applyFill="1" applyBorder="1"/>
    <xf numFmtId="0" fontId="0" fillId="12" borderId="9" xfId="0" applyFill="1" applyBorder="1" applyAlignment="1">
      <alignment horizontal="center"/>
    </xf>
    <xf numFmtId="171" fontId="0" fillId="0" borderId="14" xfId="1" applyNumberFormat="1" applyFont="1" applyBorder="1"/>
    <xf numFmtId="5" fontId="0" fillId="4" borderId="13" xfId="1" applyNumberFormat="1" applyFont="1" applyFill="1" applyBorder="1"/>
    <xf numFmtId="0" fontId="0" fillId="0" borderId="0" xfId="0" applyFill="1" applyAlignment="1">
      <alignment horizontal="center"/>
    </xf>
    <xf numFmtId="167" fontId="6" fillId="13" borderId="0" xfId="0" applyNumberFormat="1" applyFont="1" applyFill="1" applyBorder="1" applyAlignment="1">
      <alignment horizontal="left"/>
    </xf>
    <xf numFmtId="167" fontId="2" fillId="13" borderId="0" xfId="0" applyNumberFormat="1" applyFont="1" applyFill="1" applyBorder="1" applyAlignment="1">
      <alignment horizontal="left"/>
    </xf>
    <xf numFmtId="1" fontId="2" fillId="13" borderId="0" xfId="2" applyNumberFormat="1" applyFont="1" applyFill="1" applyBorder="1" applyAlignment="1">
      <alignment horizontal="center"/>
    </xf>
    <xf numFmtId="1" fontId="2" fillId="13" borderId="0" xfId="0" applyNumberFormat="1" applyFont="1" applyFill="1" applyBorder="1" applyAlignment="1">
      <alignment horizontal="center"/>
    </xf>
    <xf numFmtId="0" fontId="2" fillId="13" borderId="0" xfId="0" applyFont="1" applyFill="1" applyBorder="1"/>
    <xf numFmtId="0" fontId="0" fillId="13" borderId="0" xfId="0" applyFill="1"/>
    <xf numFmtId="1" fontId="5" fillId="4" borderId="0" xfId="0" applyNumberFormat="1" applyFont="1" applyFill="1" applyBorder="1" applyAlignment="1">
      <alignment horizontal="center"/>
    </xf>
    <xf numFmtId="0" fontId="27" fillId="4" borderId="12" xfId="0" applyFont="1" applyFill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2" fillId="0" borderId="0" xfId="0" quotePrefix="1" applyNumberFormat="1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14" borderId="0" xfId="0" applyFill="1"/>
    <xf numFmtId="1" fontId="5" fillId="14" borderId="0" xfId="0" applyNumberFormat="1" applyFont="1" applyFill="1" applyBorder="1" applyAlignment="1">
      <alignment horizontal="center"/>
    </xf>
    <xf numFmtId="0" fontId="5" fillId="14" borderId="0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3" fontId="0" fillId="0" borderId="9" xfId="0" applyNumberFormat="1" applyBorder="1"/>
    <xf numFmtId="164" fontId="21" fillId="0" borderId="13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71" fontId="2" fillId="3" borderId="1" xfId="1" applyNumberFormat="1" applyFont="1" applyFill="1" applyBorder="1" applyAlignment="1">
      <alignment vertical="top"/>
    </xf>
    <xf numFmtId="165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21" xfId="0" applyFill="1" applyBorder="1"/>
    <xf numFmtId="165" fontId="0" fillId="0" borderId="12" xfId="1" applyNumberFormat="1" applyFont="1" applyBorder="1" applyAlignment="1">
      <alignment horizontal="right"/>
    </xf>
    <xf numFmtId="5" fontId="0" fillId="0" borderId="12" xfId="1" applyNumberFormat="1" applyFont="1" applyFill="1" applyBorder="1"/>
    <xf numFmtId="5" fontId="0" fillId="0" borderId="13" xfId="1" applyNumberFormat="1" applyFont="1" applyFill="1" applyBorder="1"/>
    <xf numFmtId="0" fontId="22" fillId="3" borderId="15" xfId="0" applyFont="1" applyFill="1" applyBorder="1" applyAlignment="1">
      <alignment horizontal="center" wrapText="1"/>
    </xf>
    <xf numFmtId="0" fontId="22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2" fontId="0" fillId="0" borderId="1" xfId="0" applyNumberFormat="1" applyBorder="1"/>
    <xf numFmtId="0" fontId="5" fillId="4" borderId="1" xfId="0" applyFont="1" applyFill="1" applyBorder="1" applyAlignment="1">
      <alignment wrapText="1"/>
    </xf>
    <xf numFmtId="167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27" fillId="4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" borderId="1" xfId="0" applyFont="1" applyFill="1" applyBorder="1" applyAlignment="1">
      <alignment wrapText="1"/>
    </xf>
    <xf numFmtId="167" fontId="5" fillId="3" borderId="1" xfId="0" applyNumberFormat="1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center" wrapText="1"/>
    </xf>
    <xf numFmtId="1" fontId="5" fillId="14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27" fillId="3" borderId="13" xfId="0" quotePrefix="1" applyFont="1" applyFill="1" applyBorder="1" applyAlignment="1">
      <alignment horizontal="center" wrapText="1"/>
    </xf>
    <xf numFmtId="0" fontId="2" fillId="3" borderId="0" xfId="0" applyFont="1" applyFill="1"/>
    <xf numFmtId="0" fontId="2" fillId="4" borderId="0" xfId="0" applyFont="1" applyFill="1"/>
    <xf numFmtId="0" fontId="0" fillId="0" borderId="0" xfId="0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172" fontId="0" fillId="0" borderId="0" xfId="3" applyNumberFormat="1" applyFont="1" applyAlignment="1">
      <alignment horizontal="right"/>
    </xf>
    <xf numFmtId="7" fontId="10" fillId="4" borderId="0" xfId="2" applyNumberFormat="1" applyFont="1" applyFill="1"/>
    <xf numFmtId="7" fontId="21" fillId="0" borderId="19" xfId="0" applyNumberFormat="1" applyFont="1" applyBorder="1"/>
    <xf numFmtId="7" fontId="21" fillId="0" borderId="8" xfId="0" applyNumberFormat="1" applyFont="1" applyBorder="1"/>
    <xf numFmtId="7" fontId="10" fillId="0" borderId="0" xfId="2" applyNumberFormat="1" applyFont="1"/>
    <xf numFmtId="7" fontId="0" fillId="0" borderId="0" xfId="0" applyNumberFormat="1" applyFill="1"/>
    <xf numFmtId="7" fontId="0" fillId="0" borderId="0" xfId="0" applyNumberFormat="1" applyFill="1" applyBorder="1"/>
    <xf numFmtId="7" fontId="0" fillId="0" borderId="1" xfId="0" applyNumberFormat="1" applyFill="1" applyBorder="1"/>
    <xf numFmtId="7" fontId="21" fillId="0" borderId="9" xfId="0" applyNumberFormat="1" applyFont="1" applyBorder="1"/>
    <xf numFmtId="7" fontId="2" fillId="0" borderId="0" xfId="0" applyNumberFormat="1" applyFont="1" applyFill="1" applyBorder="1"/>
    <xf numFmtId="7" fontId="22" fillId="0" borderId="8" xfId="0" applyNumberFormat="1" applyFont="1" applyBorder="1"/>
    <xf numFmtId="0" fontId="0" fillId="0" borderId="1" xfId="0" applyFill="1" applyBorder="1"/>
    <xf numFmtId="0" fontId="0" fillId="0" borderId="9" xfId="0" applyBorder="1"/>
    <xf numFmtId="169" fontId="0" fillId="0" borderId="0" xfId="0" applyNumberFormat="1" applyFill="1"/>
    <xf numFmtId="0" fontId="2" fillId="11" borderId="0" xfId="0" applyFont="1" applyFill="1" applyAlignment="1">
      <alignment horizontal="center"/>
    </xf>
    <xf numFmtId="164" fontId="0" fillId="0" borderId="9" xfId="0" applyNumberFormat="1" applyFont="1" applyFill="1" applyBorder="1" applyAlignment="1">
      <alignment horizontal="right" wrapText="1"/>
    </xf>
    <xf numFmtId="164" fontId="0" fillId="0" borderId="14" xfId="0" applyNumberFormat="1" applyFont="1" applyFill="1" applyBorder="1" applyAlignment="1">
      <alignment horizontal="right" wrapText="1"/>
    </xf>
    <xf numFmtId="0" fontId="9" fillId="4" borderId="9" xfId="0" applyFont="1" applyFill="1" applyBorder="1" applyAlignment="1">
      <alignment horizontal="center" wrapText="1"/>
    </xf>
    <xf numFmtId="0" fontId="10" fillId="0" borderId="0" xfId="0" applyFont="1" applyBorder="1"/>
    <xf numFmtId="164" fontId="10" fillId="0" borderId="14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/>
    <xf numFmtId="164" fontId="2" fillId="0" borderId="8" xfId="2" applyNumberFormat="1" applyFont="1" applyBorder="1"/>
    <xf numFmtId="164" fontId="21" fillId="0" borderId="1" xfId="0" applyNumberFormat="1" applyFont="1" applyFill="1" applyBorder="1" applyAlignment="1">
      <alignment horizontal="right" wrapText="1"/>
    </xf>
    <xf numFmtId="164" fontId="21" fillId="0" borderId="21" xfId="0" applyNumberFormat="1" applyFont="1" applyFill="1" applyBorder="1" applyAlignment="1">
      <alignment horizontal="right" wrapText="1"/>
    </xf>
    <xf numFmtId="164" fontId="33" fillId="0" borderId="0" xfId="0" applyNumberFormat="1" applyFont="1" applyFill="1" applyBorder="1" applyAlignment="1">
      <alignment horizontal="right" wrapText="1"/>
    </xf>
    <xf numFmtId="164" fontId="0" fillId="0" borderId="19" xfId="0" applyNumberFormat="1" applyFont="1" applyFill="1" applyBorder="1" applyAlignment="1">
      <alignment horizontal="right" wrapText="1"/>
    </xf>
    <xf numFmtId="165" fontId="0" fillId="0" borderId="9" xfId="1" applyNumberFormat="1" applyFont="1" applyFill="1" applyBorder="1"/>
    <xf numFmtId="7" fontId="0" fillId="0" borderId="8" xfId="2" applyNumberFormat="1" applyFont="1" applyBorder="1"/>
    <xf numFmtId="7" fontId="0" fillId="0" borderId="9" xfId="2" applyNumberFormat="1" applyFont="1" applyBorder="1"/>
    <xf numFmtId="7" fontId="2" fillId="0" borderId="8" xfId="0" applyNumberFormat="1" applyFont="1" applyBorder="1"/>
    <xf numFmtId="7" fontId="21" fillId="0" borderId="8" xfId="2" applyNumberFormat="1" applyFont="1" applyBorder="1"/>
    <xf numFmtId="7" fontId="0" fillId="0" borderId="12" xfId="0" applyNumberFormat="1" applyBorder="1"/>
    <xf numFmtId="7" fontId="21" fillId="0" borderId="9" xfId="2" applyNumberFormat="1" applyFont="1" applyBorder="1"/>
    <xf numFmtId="7" fontId="0" fillId="0" borderId="13" xfId="0" applyNumberFormat="1" applyBorder="1"/>
    <xf numFmtId="7" fontId="21" fillId="0" borderId="12" xfId="2" applyNumberFormat="1" applyFont="1" applyBorder="1"/>
    <xf numFmtId="7" fontId="2" fillId="0" borderId="12" xfId="0" applyNumberFormat="1" applyFont="1" applyBorder="1"/>
    <xf numFmtId="0" fontId="0" fillId="0" borderId="0" xfId="0" applyAlignment="1">
      <alignment horizontal="center"/>
    </xf>
    <xf numFmtId="173" fontId="0" fillId="0" borderId="0" xfId="0" applyNumberFormat="1" applyBorder="1"/>
    <xf numFmtId="5" fontId="0" fillId="0" borderId="13" xfId="0" applyNumberFormat="1" applyFill="1" applyBorder="1" applyAlignment="1">
      <alignment horizontal="right" wrapText="1"/>
    </xf>
    <xf numFmtId="5" fontId="0" fillId="0" borderId="13" xfId="0" applyNumberFormat="1" applyFont="1" applyFill="1" applyBorder="1" applyAlignment="1">
      <alignment horizontal="right"/>
    </xf>
    <xf numFmtId="5" fontId="2" fillId="0" borderId="8" xfId="0" applyNumberFormat="1" applyFont="1" applyFill="1" applyBorder="1" applyAlignment="1">
      <alignment horizontal="right"/>
    </xf>
    <xf numFmtId="0" fontId="21" fillId="0" borderId="0" xfId="0" applyFont="1" applyBorder="1"/>
    <xf numFmtId="5" fontId="0" fillId="0" borderId="0" xfId="2" applyNumberFormat="1" applyFont="1" applyFill="1"/>
    <xf numFmtId="169" fontId="0" fillId="0" borderId="0" xfId="2" applyNumberFormat="1" applyFont="1" applyFill="1"/>
    <xf numFmtId="7" fontId="0" fillId="6" borderId="5" xfId="2" applyNumberFormat="1" applyFont="1" applyFill="1" applyBorder="1"/>
    <xf numFmtId="7" fontId="0" fillId="0" borderId="0" xfId="2" applyNumberFormat="1" applyFont="1"/>
    <xf numFmtId="0" fontId="0" fillId="6" borderId="0" xfId="0" applyFill="1" applyBorder="1"/>
    <xf numFmtId="169" fontId="0" fillId="6" borderId="0" xfId="2" applyNumberFormat="1" applyFont="1" applyFill="1" applyBorder="1"/>
    <xf numFmtId="169" fontId="0" fillId="6" borderId="0" xfId="0" applyNumberFormat="1" applyFill="1" applyBorder="1"/>
    <xf numFmtId="0" fontId="0" fillId="4" borderId="0" xfId="0" applyFont="1" applyFill="1"/>
    <xf numFmtId="164" fontId="0" fillId="4" borderId="0" xfId="0" applyNumberFormat="1" applyFill="1"/>
    <xf numFmtId="164" fontId="2" fillId="4" borderId="16" xfId="0" applyNumberFormat="1" applyFont="1" applyFill="1" applyBorder="1"/>
    <xf numFmtId="169" fontId="0" fillId="4" borderId="0" xfId="0" applyNumberFormat="1" applyFill="1"/>
    <xf numFmtId="169" fontId="0" fillId="4" borderId="1" xfId="0" applyNumberFormat="1" applyFill="1" applyBorder="1" applyAlignment="1">
      <alignment horizontal="center"/>
    </xf>
    <xf numFmtId="9" fontId="0" fillId="4" borderId="0" xfId="3" applyFont="1" applyFill="1"/>
    <xf numFmtId="169" fontId="0" fillId="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0" fillId="15" borderId="0" xfId="0" applyFill="1"/>
    <xf numFmtId="0" fontId="0" fillId="16" borderId="0" xfId="0" applyFill="1"/>
    <xf numFmtId="1" fontId="0" fillId="4" borderId="0" xfId="2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0" borderId="0" xfId="2" applyNumberFormat="1" applyFont="1" applyFill="1" applyAlignment="1">
      <alignment horizontal="right"/>
    </xf>
    <xf numFmtId="5" fontId="0" fillId="0" borderId="0" xfId="0" applyNumberFormat="1" applyFont="1" applyFill="1"/>
    <xf numFmtId="3" fontId="0" fillId="10" borderId="1" xfId="0" applyNumberForma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5" fontId="0" fillId="0" borderId="0" xfId="0" applyNumberFormat="1" applyFill="1"/>
    <xf numFmtId="1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wrapText="1"/>
    </xf>
    <xf numFmtId="164" fontId="34" fillId="0" borderId="0" xfId="2" applyNumberFormat="1" applyFont="1" applyBorder="1"/>
    <xf numFmtId="9" fontId="35" fillId="0" borderId="1" xfId="3" applyFont="1" applyFill="1" applyBorder="1"/>
    <xf numFmtId="164" fontId="33" fillId="0" borderId="9" xfId="0" applyNumberFormat="1" applyFont="1" applyFill="1" applyBorder="1" applyAlignment="1">
      <alignment horizontal="right" wrapText="1"/>
    </xf>
    <xf numFmtId="164" fontId="0" fillId="0" borderId="8" xfId="0" applyNumberFormat="1" applyFont="1" applyFill="1" applyBorder="1" applyAlignment="1">
      <alignment horizontal="right" wrapText="1"/>
    </xf>
    <xf numFmtId="164" fontId="2" fillId="0" borderId="19" xfId="0" applyNumberFormat="1" applyFont="1" applyFill="1" applyBorder="1"/>
    <xf numFmtId="9" fontId="13" fillId="0" borderId="9" xfId="3" applyFont="1" applyFill="1" applyBorder="1"/>
    <xf numFmtId="1" fontId="0" fillId="0" borderId="1" xfId="2" applyNumberFormat="1" applyFont="1" applyBorder="1" applyAlignment="1">
      <alignment horizontal="center"/>
    </xf>
    <xf numFmtId="1" fontId="0" fillId="0" borderId="0" xfId="2" applyNumberFormat="1" applyFont="1" applyAlignment="1">
      <alignment horizontal="right"/>
    </xf>
    <xf numFmtId="173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2" fillId="3" borderId="1" xfId="0" applyFont="1" applyFill="1" applyBorder="1"/>
    <xf numFmtId="44" fontId="0" fillId="0" borderId="0" xfId="2" applyFont="1" applyAlignment="1">
      <alignment horizontal="left"/>
    </xf>
    <xf numFmtId="1" fontId="2" fillId="0" borderId="0" xfId="2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1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5" fontId="0" fillId="0" borderId="0" xfId="0" applyNumberFormat="1" applyAlignment="1">
      <alignment horizontal="right"/>
    </xf>
    <xf numFmtId="5" fontId="2" fillId="0" borderId="0" xfId="0" applyNumberFormat="1" applyFont="1" applyFill="1" applyBorder="1"/>
    <xf numFmtId="5" fontId="2" fillId="0" borderId="0" xfId="2" applyNumberFormat="1" applyFont="1" applyBorder="1"/>
    <xf numFmtId="165" fontId="0" fillId="0" borderId="0" xfId="1" applyNumberFormat="1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vertical="top" wrapText="1"/>
    </xf>
    <xf numFmtId="43" fontId="0" fillId="0" borderId="0" xfId="0" applyNumberFormat="1" applyFont="1" applyFill="1" applyBorder="1" applyAlignment="1">
      <alignment wrapText="1"/>
    </xf>
    <xf numFmtId="164" fontId="0" fillId="0" borderId="1" xfId="2" applyNumberFormat="1" applyFont="1" applyFill="1" applyBorder="1" applyAlignment="1">
      <alignment horizontal="right"/>
    </xf>
    <xf numFmtId="5" fontId="2" fillId="0" borderId="1" xfId="0" applyNumberFormat="1" applyFont="1" applyBorder="1"/>
    <xf numFmtId="165" fontId="0" fillId="0" borderId="1" xfId="0" applyNumberForma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165" fontId="2" fillId="0" borderId="17" xfId="1" applyNumberFormat="1" applyFont="1" applyBorder="1" applyAlignment="1">
      <alignment horizontal="left"/>
    </xf>
    <xf numFmtId="165" fontId="0" fillId="0" borderId="7" xfId="1" applyNumberFormat="1" applyFont="1" applyBorder="1" applyAlignment="1">
      <alignment horizontal="left"/>
    </xf>
    <xf numFmtId="165" fontId="0" fillId="0" borderId="15" xfId="1" applyNumberFormat="1" applyFont="1" applyBorder="1" applyAlignment="1">
      <alignment horizontal="left"/>
    </xf>
    <xf numFmtId="1" fontId="0" fillId="0" borderId="0" xfId="2" applyNumberFormat="1" applyFont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165" fontId="0" fillId="0" borderId="0" xfId="0" applyNumberFormat="1" applyFill="1"/>
    <xf numFmtId="169" fontId="0" fillId="0" borderId="1" xfId="0" applyNumberFormat="1" applyFill="1" applyBorder="1"/>
    <xf numFmtId="169" fontId="2" fillId="0" borderId="0" xfId="0" applyNumberFormat="1" applyFont="1" applyFill="1"/>
    <xf numFmtId="164" fontId="2" fillId="0" borderId="0" xfId="0" applyNumberFormat="1" applyFont="1" applyFill="1"/>
    <xf numFmtId="164" fontId="2" fillId="17" borderId="12" xfId="2" applyNumberFormat="1" applyFont="1" applyFill="1" applyBorder="1"/>
    <xf numFmtId="5" fontId="2" fillId="17" borderId="8" xfId="0" applyNumberFormat="1" applyFont="1" applyFill="1" applyBorder="1" applyAlignment="1">
      <alignment horizontal="right"/>
    </xf>
    <xf numFmtId="1" fontId="0" fillId="0" borderId="1" xfId="2" applyNumberFormat="1" applyFont="1" applyFill="1" applyBorder="1" applyAlignment="1">
      <alignment horizontal="center"/>
    </xf>
    <xf numFmtId="172" fontId="0" fillId="0" borderId="0" xfId="0" applyNumberFormat="1" applyFill="1"/>
    <xf numFmtId="7" fontId="0" fillId="0" borderId="0" xfId="2" applyNumberFormat="1" applyFont="1" applyFill="1"/>
    <xf numFmtId="164" fontId="0" fillId="6" borderId="0" xfId="0" applyNumberFormat="1" applyFill="1" applyBorder="1"/>
    <xf numFmtId="172" fontId="0" fillId="0" borderId="0" xfId="3" applyNumberFormat="1" applyFont="1" applyFill="1"/>
    <xf numFmtId="5" fontId="0" fillId="0" borderId="0" xfId="1" applyNumberFormat="1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Ridership!$E$44</c:f>
              <c:strCache>
                <c:ptCount val="1"/>
                <c:pt idx="0">
                  <c:v>New Tech Center</c:v>
                </c:pt>
              </c:strCache>
            </c:strRef>
          </c:tx>
          <c:marker>
            <c:symbol val="none"/>
          </c:marker>
          <c:cat>
            <c:numRef>
              <c:f>Ridership!$F$43:$AU$43</c:f>
              <c:numCache>
                <c:formatCode>General</c:formatCode>
                <c:ptCount val="4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Ridership!$F$44:$AU$44</c:f>
              <c:numCache>
                <c:formatCode>#,##0</c:formatCode>
                <c:ptCount val="42"/>
                <c:pt idx="0">
                  <c:v>14383.561643835616</c:v>
                </c:pt>
                <c:pt idx="1">
                  <c:v>14691.780821917808</c:v>
                </c:pt>
                <c:pt idx="2">
                  <c:v>15000</c:v>
                </c:pt>
                <c:pt idx="3">
                  <c:v>15308.219178082192</c:v>
                </c:pt>
                <c:pt idx="4">
                  <c:v>15616.438356164384</c:v>
                </c:pt>
                <c:pt idx="5">
                  <c:v>15958.904109589041</c:v>
                </c:pt>
                <c:pt idx="6">
                  <c:v>16301.369863013699</c:v>
                </c:pt>
                <c:pt idx="7">
                  <c:v>16643.835616438355</c:v>
                </c:pt>
                <c:pt idx="8">
                  <c:v>16986.301369863013</c:v>
                </c:pt>
                <c:pt idx="9">
                  <c:v>17328.767123287671</c:v>
                </c:pt>
                <c:pt idx="10">
                  <c:v>17705.479452054795</c:v>
                </c:pt>
                <c:pt idx="11">
                  <c:v>18082.191780821919</c:v>
                </c:pt>
                <c:pt idx="12">
                  <c:v>18458.904109589042</c:v>
                </c:pt>
                <c:pt idx="13">
                  <c:v>18835.616438356163</c:v>
                </c:pt>
                <c:pt idx="14">
                  <c:v>19246.575342465752</c:v>
                </c:pt>
                <c:pt idx="15">
                  <c:v>19657.534246575342</c:v>
                </c:pt>
                <c:pt idx="16">
                  <c:v>20068.493150684932</c:v>
                </c:pt>
                <c:pt idx="17">
                  <c:v>20479.452054794521</c:v>
                </c:pt>
                <c:pt idx="18">
                  <c:v>20924.657534246577</c:v>
                </c:pt>
                <c:pt idx="19">
                  <c:v>21369.863013698628</c:v>
                </c:pt>
                <c:pt idx="20">
                  <c:v>21815.068493150684</c:v>
                </c:pt>
                <c:pt idx="21">
                  <c:v>22260.273972602739</c:v>
                </c:pt>
                <c:pt idx="22">
                  <c:v>22739.726027397261</c:v>
                </c:pt>
                <c:pt idx="23">
                  <c:v>23219.178082191782</c:v>
                </c:pt>
                <c:pt idx="24">
                  <c:v>23698.630136986303</c:v>
                </c:pt>
                <c:pt idx="25">
                  <c:v>24212.328767123287</c:v>
                </c:pt>
                <c:pt idx="26">
                  <c:v>24726.027397260274</c:v>
                </c:pt>
                <c:pt idx="27">
                  <c:v>25239.726027397261</c:v>
                </c:pt>
                <c:pt idx="28">
                  <c:v>25753.424657534248</c:v>
                </c:pt>
                <c:pt idx="29">
                  <c:v>26301.369863013697</c:v>
                </c:pt>
                <c:pt idx="30">
                  <c:v>26849.31506849315</c:v>
                </c:pt>
                <c:pt idx="31">
                  <c:v>27397.260273972603</c:v>
                </c:pt>
                <c:pt idx="32">
                  <c:v>27979.452054794521</c:v>
                </c:pt>
                <c:pt idx="33">
                  <c:v>28561.64383561644</c:v>
                </c:pt>
                <c:pt idx="34">
                  <c:v>29178.082191780821</c:v>
                </c:pt>
                <c:pt idx="35">
                  <c:v>29794.520547945205</c:v>
                </c:pt>
                <c:pt idx="36">
                  <c:v>30410.95890410959</c:v>
                </c:pt>
                <c:pt idx="37">
                  <c:v>31061.64383561644</c:v>
                </c:pt>
                <c:pt idx="38">
                  <c:v>2017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FD-4CBE-BEB4-F4AF87BC8038}"/>
            </c:ext>
          </c:extLst>
        </c:ser>
        <c:ser>
          <c:idx val="1"/>
          <c:order val="1"/>
          <c:tx>
            <c:strRef>
              <c:f>Ridership!$E$45</c:f>
              <c:strCache>
                <c:ptCount val="1"/>
                <c:pt idx="0">
                  <c:v>Existing Facility</c:v>
                </c:pt>
              </c:strCache>
            </c:strRef>
          </c:tx>
          <c:marker>
            <c:symbol val="none"/>
          </c:marker>
          <c:cat>
            <c:numRef>
              <c:f>Ridership!$F$43:$AU$43</c:f>
              <c:numCache>
                <c:formatCode>General</c:formatCode>
                <c:ptCount val="42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Ridership!$F$45:$AU$45</c:f>
              <c:numCache>
                <c:formatCode>#,##0</c:formatCode>
                <c:ptCount val="42"/>
                <c:pt idx="0">
                  <c:v>14339.801752736563</c:v>
                </c:pt>
                <c:pt idx="1">
                  <c:v>14567.365038842801</c:v>
                </c:pt>
                <c:pt idx="2">
                  <c:v>14798.162130392549</c:v>
                </c:pt>
                <c:pt idx="3">
                  <c:v>15032.228491805252</c:v>
                </c:pt>
                <c:pt idx="4">
                  <c:v>15269.599650897784</c:v>
                </c:pt>
                <c:pt idx="5">
                  <c:v>15510.31118590732</c:v>
                </c:pt>
                <c:pt idx="6">
                  <c:v>15754.398711941212</c:v>
                </c:pt>
                <c:pt idx="7">
                  <c:v>16001.897866835539</c:v>
                </c:pt>
                <c:pt idx="8">
                  <c:v>16252.844296403462</c:v>
                </c:pt>
                <c:pt idx="9">
                  <c:v>16507.273639053965</c:v>
                </c:pt>
                <c:pt idx="10">
                  <c:v>16765.221509761075</c:v>
                </c:pt>
                <c:pt idx="11">
                  <c:v>17026.723483363061</c:v>
                </c:pt>
                <c:pt idx="12">
                  <c:v>17291.815077170526</c:v>
                </c:pt>
                <c:pt idx="13">
                  <c:v>17560.531732861742</c:v>
                </c:pt>
                <c:pt idx="14">
                  <c:v>17832.908797642955</c:v>
                </c:pt>
                <c:pt idx="15">
                  <c:v>18108.98150465079</c:v>
                </c:pt>
                <c:pt idx="16">
                  <c:v>18388.784952573187</c:v>
                </c:pt>
                <c:pt idx="17">
                  <c:v>18672.35408446478</c:v>
                </c:pt>
                <c:pt idx="18">
                  <c:v>18959.723665731737</c:v>
                </c:pt>
                <c:pt idx="19">
                  <c:v>19250.928261260651</c:v>
                </c:pt>
                <c:pt idx="20">
                  <c:v>19546.002211665193</c:v>
                </c:pt>
                <c:pt idx="21">
                  <c:v>19844.979608623507</c:v>
                </c:pt>
                <c:pt idx="22">
                  <c:v>20147.894269278731</c:v>
                </c:pt>
                <c:pt idx="23">
                  <c:v>20454.779709674072</c:v>
                </c:pt>
                <c:pt idx="24">
                  <c:v>20765.669117193262</c:v>
                </c:pt>
                <c:pt idx="25">
                  <c:v>21080.595321976289</c:v>
                </c:pt>
                <c:pt idx="26">
                  <c:v>21399.590767279529</c:v>
                </c:pt>
                <c:pt idx="27">
                  <c:v>21722.687478748507</c:v>
                </c:pt>
                <c:pt idx="28">
                  <c:v>22049.917032570822</c:v>
                </c:pt>
                <c:pt idx="29">
                  <c:v>22381.310522475535</c:v>
                </c:pt>
                <c:pt idx="30">
                  <c:v>22716.898525544882</c:v>
                </c:pt>
                <c:pt idx="31">
                  <c:v>23056.711066802738</c:v>
                </c:pt>
                <c:pt idx="32">
                  <c:v>23400.777582543655</c:v>
                </c:pt>
                <c:pt idx="33">
                  <c:v>23749.126882365228</c:v>
                </c:pt>
                <c:pt idx="34">
                  <c:v>24101.787109865407</c:v>
                </c:pt>
                <c:pt idx="35">
                  <c:v>24607.924639172579</c:v>
                </c:pt>
                <c:pt idx="36">
                  <c:v>25124.691056595202</c:v>
                </c:pt>
                <c:pt idx="37">
                  <c:v>25652.309568783694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FD-4CBE-BEB4-F4AF87BC8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87200"/>
        <c:axId val="143588736"/>
      </c:lineChart>
      <c:catAx>
        <c:axId val="143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88736"/>
        <c:crosses val="autoZero"/>
        <c:auto val="1"/>
        <c:lblAlgn val="ctr"/>
        <c:lblOffset val="100"/>
        <c:noMultiLvlLbl val="0"/>
      </c:catAx>
      <c:valAx>
        <c:axId val="143588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3587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Daily Bus Ridership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Ridership!$E$44</c:f>
              <c:strCache>
                <c:ptCount val="1"/>
                <c:pt idx="0">
                  <c:v>New Tech Center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Ridership!$F$43:$AP$43</c:f>
              <c:numCache>
                <c:formatCode>General</c:formatCode>
                <c:ptCount val="3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</c:numCache>
            </c:numRef>
          </c:cat>
          <c:val>
            <c:numRef>
              <c:f>Ridership!$F$44:$AP$44</c:f>
              <c:numCache>
                <c:formatCode>#,##0</c:formatCode>
                <c:ptCount val="37"/>
                <c:pt idx="0">
                  <c:v>14383.561643835616</c:v>
                </c:pt>
                <c:pt idx="1">
                  <c:v>14691.780821917808</c:v>
                </c:pt>
                <c:pt idx="2">
                  <c:v>15000</c:v>
                </c:pt>
                <c:pt idx="3">
                  <c:v>15308.219178082192</c:v>
                </c:pt>
                <c:pt idx="4">
                  <c:v>15616.438356164384</c:v>
                </c:pt>
                <c:pt idx="5">
                  <c:v>15958.904109589041</c:v>
                </c:pt>
                <c:pt idx="6">
                  <c:v>16301.369863013699</c:v>
                </c:pt>
                <c:pt idx="7">
                  <c:v>16643.835616438355</c:v>
                </c:pt>
                <c:pt idx="8">
                  <c:v>16986.301369863013</c:v>
                </c:pt>
                <c:pt idx="9">
                  <c:v>17328.767123287671</c:v>
                </c:pt>
                <c:pt idx="10">
                  <c:v>17705.479452054795</c:v>
                </c:pt>
                <c:pt idx="11">
                  <c:v>18082.191780821919</c:v>
                </c:pt>
                <c:pt idx="12">
                  <c:v>18458.904109589042</c:v>
                </c:pt>
                <c:pt idx="13">
                  <c:v>18835.616438356163</c:v>
                </c:pt>
                <c:pt idx="14">
                  <c:v>19246.575342465752</c:v>
                </c:pt>
                <c:pt idx="15">
                  <c:v>19657.534246575342</c:v>
                </c:pt>
                <c:pt idx="16">
                  <c:v>20068.493150684932</c:v>
                </c:pt>
                <c:pt idx="17">
                  <c:v>20479.452054794521</c:v>
                </c:pt>
                <c:pt idx="18">
                  <c:v>20924.657534246577</c:v>
                </c:pt>
                <c:pt idx="19">
                  <c:v>21369.863013698628</c:v>
                </c:pt>
                <c:pt idx="20">
                  <c:v>21815.068493150684</c:v>
                </c:pt>
                <c:pt idx="21">
                  <c:v>22260.273972602739</c:v>
                </c:pt>
                <c:pt idx="22">
                  <c:v>22739.726027397261</c:v>
                </c:pt>
                <c:pt idx="23">
                  <c:v>23219.178082191782</c:v>
                </c:pt>
                <c:pt idx="24">
                  <c:v>23698.630136986303</c:v>
                </c:pt>
                <c:pt idx="25">
                  <c:v>24212.328767123287</c:v>
                </c:pt>
                <c:pt idx="26">
                  <c:v>24726.027397260274</c:v>
                </c:pt>
                <c:pt idx="27">
                  <c:v>25239.726027397261</c:v>
                </c:pt>
                <c:pt idx="28">
                  <c:v>25753.424657534248</c:v>
                </c:pt>
                <c:pt idx="29">
                  <c:v>26301.369863013697</c:v>
                </c:pt>
                <c:pt idx="30">
                  <c:v>26849.31506849315</c:v>
                </c:pt>
                <c:pt idx="31">
                  <c:v>27397.260273972603</c:v>
                </c:pt>
                <c:pt idx="32">
                  <c:v>27979.452054794521</c:v>
                </c:pt>
                <c:pt idx="33">
                  <c:v>28561.64383561644</c:v>
                </c:pt>
                <c:pt idx="34">
                  <c:v>29178.082191780821</c:v>
                </c:pt>
                <c:pt idx="35">
                  <c:v>29794.520547945205</c:v>
                </c:pt>
                <c:pt idx="36">
                  <c:v>30410.95890410959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F0-4AB3-BF49-E46351E72691}"/>
            </c:ext>
          </c:extLst>
        </c:ser>
        <c:ser>
          <c:idx val="1"/>
          <c:order val="1"/>
          <c:tx>
            <c:strRef>
              <c:f>Ridership!$E$45</c:f>
              <c:strCache>
                <c:ptCount val="1"/>
                <c:pt idx="0">
                  <c:v>Existing Facility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Ridership!$F$43:$AP$43</c:f>
              <c:numCache>
                <c:formatCode>General</c:formatCode>
                <c:ptCount val="3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  <c:pt idx="30">
                  <c:v>2052</c:v>
                </c:pt>
                <c:pt idx="31">
                  <c:v>2053</c:v>
                </c:pt>
                <c:pt idx="32">
                  <c:v>2054</c:v>
                </c:pt>
                <c:pt idx="33">
                  <c:v>2055</c:v>
                </c:pt>
                <c:pt idx="34">
                  <c:v>2056</c:v>
                </c:pt>
                <c:pt idx="35">
                  <c:v>2057</c:v>
                </c:pt>
                <c:pt idx="36">
                  <c:v>2058</c:v>
                </c:pt>
              </c:numCache>
            </c:numRef>
          </c:cat>
          <c:val>
            <c:numRef>
              <c:f>Ridership!$F$45:$AP$45</c:f>
              <c:numCache>
                <c:formatCode>#,##0</c:formatCode>
                <c:ptCount val="37"/>
                <c:pt idx="0">
                  <c:v>14339.801752736563</c:v>
                </c:pt>
                <c:pt idx="1">
                  <c:v>14567.365038842801</c:v>
                </c:pt>
                <c:pt idx="2">
                  <c:v>14798.162130392549</c:v>
                </c:pt>
                <c:pt idx="3">
                  <c:v>15032.228491805252</c:v>
                </c:pt>
                <c:pt idx="4">
                  <c:v>15269.599650897784</c:v>
                </c:pt>
                <c:pt idx="5">
                  <c:v>15510.31118590732</c:v>
                </c:pt>
                <c:pt idx="6">
                  <c:v>15754.398711941212</c:v>
                </c:pt>
                <c:pt idx="7">
                  <c:v>16001.897866835539</c:v>
                </c:pt>
                <c:pt idx="8">
                  <c:v>16252.844296403462</c:v>
                </c:pt>
                <c:pt idx="9">
                  <c:v>16507.273639053965</c:v>
                </c:pt>
                <c:pt idx="10">
                  <c:v>16765.221509761075</c:v>
                </c:pt>
                <c:pt idx="11">
                  <c:v>17026.723483363061</c:v>
                </c:pt>
                <c:pt idx="12">
                  <c:v>17291.815077170526</c:v>
                </c:pt>
                <c:pt idx="13">
                  <c:v>17560.531732861742</c:v>
                </c:pt>
                <c:pt idx="14">
                  <c:v>17832.908797642955</c:v>
                </c:pt>
                <c:pt idx="15">
                  <c:v>18108.98150465079</c:v>
                </c:pt>
                <c:pt idx="16">
                  <c:v>18388.784952573187</c:v>
                </c:pt>
                <c:pt idx="17">
                  <c:v>18672.35408446478</c:v>
                </c:pt>
                <c:pt idx="18">
                  <c:v>18959.723665731737</c:v>
                </c:pt>
                <c:pt idx="19">
                  <c:v>19250.928261260651</c:v>
                </c:pt>
                <c:pt idx="20">
                  <c:v>19546.002211665193</c:v>
                </c:pt>
                <c:pt idx="21">
                  <c:v>19844.979608623507</c:v>
                </c:pt>
                <c:pt idx="22">
                  <c:v>20147.894269278731</c:v>
                </c:pt>
                <c:pt idx="23">
                  <c:v>20454.779709674072</c:v>
                </c:pt>
                <c:pt idx="24">
                  <c:v>20765.669117193262</c:v>
                </c:pt>
                <c:pt idx="25">
                  <c:v>21080.595321976289</c:v>
                </c:pt>
                <c:pt idx="26">
                  <c:v>21399.590767279529</c:v>
                </c:pt>
                <c:pt idx="27">
                  <c:v>21722.687478748507</c:v>
                </c:pt>
                <c:pt idx="28">
                  <c:v>22049.917032570822</c:v>
                </c:pt>
                <c:pt idx="29">
                  <c:v>22381.310522475535</c:v>
                </c:pt>
                <c:pt idx="30">
                  <c:v>22716.898525544882</c:v>
                </c:pt>
                <c:pt idx="31">
                  <c:v>23056.711066802738</c:v>
                </c:pt>
                <c:pt idx="32">
                  <c:v>23400.777582543655</c:v>
                </c:pt>
                <c:pt idx="33">
                  <c:v>23749.126882365228</c:v>
                </c:pt>
                <c:pt idx="34">
                  <c:v>24101.787109865407</c:v>
                </c:pt>
                <c:pt idx="35">
                  <c:v>24607.924639172579</c:v>
                </c:pt>
                <c:pt idx="36">
                  <c:v>25124.691056595202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F0-4AB3-BF49-E46351E72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17184"/>
        <c:axId val="143518720"/>
      </c:lineChart>
      <c:catAx>
        <c:axId val="1435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18720"/>
        <c:crosses val="autoZero"/>
        <c:auto val="1"/>
        <c:lblAlgn val="ctr"/>
        <c:lblOffset val="100"/>
        <c:noMultiLvlLbl val="0"/>
      </c:catAx>
      <c:valAx>
        <c:axId val="14351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51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414337</xdr:colOff>
      <xdr:row>25</xdr:row>
      <xdr:rowOff>90487</xdr:rowOff>
    </xdr:from>
    <xdr:to>
      <xdr:col>36</xdr:col>
      <xdr:colOff>700087</xdr:colOff>
      <xdr:row>39</xdr:row>
      <xdr:rowOff>166687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728662</xdr:colOff>
      <xdr:row>49</xdr:row>
      <xdr:rowOff>71437</xdr:rowOff>
    </xdr:from>
    <xdr:to>
      <xdr:col>46</xdr:col>
      <xdr:colOff>433387</xdr:colOff>
      <xdr:row>63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219D0D-F89C-4E9B-852C-7628563D8E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0.25069</cdr:x>
      <cdr:y>0.05671</cdr:y>
    </cdr:from>
    <cdr:to>
      <cdr:x>0.56344</cdr:x>
      <cdr:y>0.1511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1146175" y="155575"/>
          <a:ext cx="1429879" cy="25891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HelveticaNeueLT Std Lt" pitchFamily="34" charset="0"/>
            </a:rPr>
            <a:t>Daily Bus Ridership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AY\AppData\Local\Microsoft\Windows\INetCache\Content.Outlook\WI5QJ85P\UTAbcaR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Summary Details"/>
      <sheetName val="Bus Costs"/>
      <sheetName val="Ridership"/>
      <sheetName val="Economic Competitiveness"/>
      <sheetName val="Environmental Sustainability"/>
      <sheetName val="Safety"/>
      <sheetName val="State of Good Repair"/>
      <sheetName val="Project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0">
          <cell r="H270">
            <v>4.66</v>
          </cell>
        </row>
        <row r="271">
          <cell r="C271">
            <v>2.27</v>
          </cell>
          <cell r="H271">
            <v>4.34</v>
          </cell>
        </row>
        <row r="272">
          <cell r="C272">
            <v>3.34</v>
          </cell>
          <cell r="H272">
            <v>16.032</v>
          </cell>
        </row>
        <row r="273">
          <cell r="H273">
            <v>5.33</v>
          </cell>
        </row>
        <row r="274">
          <cell r="C274">
            <v>1.04</v>
          </cell>
          <cell r="H274">
            <v>36000</v>
          </cell>
        </row>
        <row r="304">
          <cell r="A304" t="str">
            <v>Assuption - Bus Replacement Schedule Rev 33, added 24 begin ops in 2013, 23 in 2016, 37 in 2017 and 36 in 2018.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fhwa.dot.gov/policyinformation/tables/vmt/vmt_forecast_sum.cfm" TargetMode="External"/><Relationship Id="rId1" Type="http://schemas.openxmlformats.org/officeDocument/2006/relationships/hyperlink" Target="http://www.easterncoalcouncil.net/PDF_Files/ANNUAL_ENERGY_OUTLOOK_20110383%282011%2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abSelected="1" zoomScaleNormal="100" workbookViewId="0">
      <pane xSplit="4" ySplit="3" topLeftCell="E40" activePane="bottomRight" state="frozen"/>
      <selection pane="topRight" activeCell="E1" sqref="E1"/>
      <selection pane="bottomLeft" activeCell="A4" sqref="A4"/>
      <selection pane="bottomRight" activeCell="B51" sqref="B51"/>
    </sheetView>
  </sheetViews>
  <sheetFormatPr defaultRowHeight="15" x14ac:dyDescent="0.25"/>
  <cols>
    <col min="1" max="1" width="15.42578125" customWidth="1"/>
    <col min="2" max="2" width="18.140625" customWidth="1"/>
    <col min="3" max="3" width="15.42578125" customWidth="1"/>
    <col min="4" max="4" width="15.42578125" style="68" customWidth="1"/>
    <col min="5" max="5" width="22.140625" style="68" customWidth="1"/>
    <col min="6" max="11" width="22.140625" customWidth="1"/>
    <col min="12" max="12" width="22.140625" style="68" customWidth="1"/>
    <col min="13" max="19" width="22.140625" customWidth="1"/>
    <col min="20" max="25" width="22.140625" style="68" customWidth="1"/>
    <col min="26" max="26" width="19.42578125" style="68" customWidth="1"/>
    <col min="27" max="27" width="16.85546875" customWidth="1"/>
    <col min="28" max="29" width="17.140625" style="263" customWidth="1"/>
    <col min="30" max="30" width="16.85546875" customWidth="1"/>
    <col min="31" max="31" width="17.140625" style="263" customWidth="1"/>
    <col min="32" max="41" width="16.85546875" customWidth="1"/>
  </cols>
  <sheetData>
    <row r="1" spans="1:41" x14ac:dyDescent="0.25">
      <c r="B1" s="68"/>
      <c r="C1" s="68"/>
    </row>
    <row r="2" spans="1:41" s="91" customFormat="1" ht="30" x14ac:dyDescent="0.25">
      <c r="A2" s="150"/>
      <c r="B2" s="151"/>
      <c r="C2" s="268"/>
      <c r="D2" s="151"/>
      <c r="E2" s="150" t="s">
        <v>1</v>
      </c>
      <c r="F2" s="150"/>
      <c r="G2" s="150"/>
      <c r="H2" s="150"/>
      <c r="I2" s="150"/>
      <c r="J2" s="150"/>
      <c r="K2" s="150"/>
      <c r="L2" s="150"/>
      <c r="M2" s="150"/>
      <c r="N2" s="150" t="s">
        <v>391</v>
      </c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62" t="s">
        <v>179</v>
      </c>
      <c r="AA2" s="150"/>
      <c r="AB2" s="264"/>
      <c r="AC2" s="264"/>
      <c r="AD2" s="150"/>
      <c r="AE2" s="264"/>
      <c r="AF2" s="152" t="s">
        <v>2</v>
      </c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1" s="91" customFormat="1" ht="60" x14ac:dyDescent="0.25">
      <c r="A3" s="132" t="s">
        <v>0</v>
      </c>
      <c r="B3" s="133" t="s">
        <v>0</v>
      </c>
      <c r="C3" s="133" t="s">
        <v>195</v>
      </c>
      <c r="D3" s="133" t="s">
        <v>194</v>
      </c>
      <c r="E3" s="132" t="s">
        <v>94</v>
      </c>
      <c r="F3" s="132" t="s">
        <v>95</v>
      </c>
      <c r="G3" s="132" t="s">
        <v>96</v>
      </c>
      <c r="H3" s="132" t="s">
        <v>97</v>
      </c>
      <c r="I3" s="132" t="s">
        <v>99</v>
      </c>
      <c r="J3" s="132" t="s">
        <v>98</v>
      </c>
      <c r="K3" s="132" t="s">
        <v>100</v>
      </c>
      <c r="L3" s="132" t="s">
        <v>160</v>
      </c>
      <c r="M3" s="132" t="s">
        <v>101</v>
      </c>
      <c r="N3" s="132" t="s">
        <v>449</v>
      </c>
      <c r="O3" s="132" t="s">
        <v>454</v>
      </c>
      <c r="P3" s="132" t="s">
        <v>455</v>
      </c>
      <c r="Q3" s="132" t="s">
        <v>102</v>
      </c>
      <c r="R3" s="132" t="s">
        <v>417</v>
      </c>
      <c r="S3" s="132" t="s">
        <v>442</v>
      </c>
      <c r="T3" s="132" t="s">
        <v>238</v>
      </c>
      <c r="U3" s="131" t="s">
        <v>456</v>
      </c>
      <c r="V3" s="131" t="s">
        <v>490</v>
      </c>
      <c r="W3" s="131" t="s">
        <v>407</v>
      </c>
      <c r="X3" s="132" t="s">
        <v>430</v>
      </c>
      <c r="Y3" s="265" t="s">
        <v>398</v>
      </c>
      <c r="Z3" s="150" t="s">
        <v>393</v>
      </c>
      <c r="AA3" s="150" t="s">
        <v>394</v>
      </c>
      <c r="AB3" s="265" t="s">
        <v>395</v>
      </c>
      <c r="AC3" s="483" t="s">
        <v>397</v>
      </c>
      <c r="AD3" s="133" t="s">
        <v>396</v>
      </c>
      <c r="AE3" s="265" t="s">
        <v>264</v>
      </c>
      <c r="AF3" s="228"/>
      <c r="AG3" s="258"/>
      <c r="AH3" s="258"/>
      <c r="AI3" s="258"/>
      <c r="AJ3" s="258"/>
      <c r="AK3" s="258"/>
      <c r="AL3" s="258"/>
      <c r="AM3" s="258"/>
      <c r="AN3" s="258"/>
      <c r="AO3" s="258"/>
    </row>
    <row r="4" spans="1:41" x14ac:dyDescent="0.25">
      <c r="A4">
        <v>1</v>
      </c>
      <c r="B4" s="130">
        <v>2018</v>
      </c>
      <c r="C4" s="269">
        <v>0</v>
      </c>
      <c r="D4" s="383">
        <f>Y4+AB4+AE4+AF4</f>
        <v>1181709.9449760921</v>
      </c>
      <c r="E4" s="94">
        <f>'Economic Competitiveness'!C53</f>
        <v>0</v>
      </c>
      <c r="F4" s="94">
        <f>'Economic Competitiveness'!D53</f>
        <v>0</v>
      </c>
      <c r="G4" s="2">
        <f>'Economic Competitiveness'!C116</f>
        <v>0</v>
      </c>
      <c r="H4" s="2">
        <f>'Economic Competitiveness'!D116</f>
        <v>0</v>
      </c>
      <c r="I4" s="2">
        <f>'Economic Competitiveness'!C171</f>
        <v>0</v>
      </c>
      <c r="J4" s="2">
        <f>'Economic Competitiveness'!C233</f>
        <v>0</v>
      </c>
      <c r="K4" s="2">
        <f>'Economic Competitiveness'!D233</f>
        <v>0</v>
      </c>
      <c r="L4" s="71">
        <f>'Economic Competitiveness'!C439</f>
        <v>0</v>
      </c>
      <c r="M4" s="2">
        <f>'Economic Competitiveness'!L521</f>
        <v>524054.50841557718</v>
      </c>
      <c r="N4" s="2">
        <f>'Economic Competitiveness'!L567</f>
        <v>24551.776577715071</v>
      </c>
      <c r="O4" s="2">
        <f>'Economic Competitiveness'!I620</f>
        <v>0</v>
      </c>
      <c r="P4" s="2">
        <f>'Economic Competitiveness'!J620</f>
        <v>50400</v>
      </c>
      <c r="Q4" s="306">
        <f>-'Economic Competitiveness'!N521</f>
        <v>0</v>
      </c>
      <c r="R4" s="306">
        <f>-'Economic Competitiveness'!N567</f>
        <v>0</v>
      </c>
      <c r="S4" s="306">
        <f>-'Economic Competitiveness'!E806</f>
        <v>0</v>
      </c>
      <c r="T4" s="158">
        <f>'Economic Competitiveness'!F698</f>
        <v>0</v>
      </c>
      <c r="U4" s="158">
        <f>'Economic Competitiveness'!G698</f>
        <v>0</v>
      </c>
      <c r="V4" s="236">
        <f>-'Economic Competitiveness'!D755</f>
        <v>0</v>
      </c>
      <c r="W4" s="158">
        <v>0</v>
      </c>
      <c r="X4" s="491">
        <v>0</v>
      </c>
      <c r="Y4" s="490">
        <f>SUM(E4:X4)</f>
        <v>599006.2849932923</v>
      </c>
      <c r="Z4" s="163">
        <f>'Environmental Protection'!Q92</f>
        <v>20644.173046799999</v>
      </c>
      <c r="AA4" s="158">
        <f>'Environmental Protection'!P38</f>
        <v>562059.48693599983</v>
      </c>
      <c r="AB4" s="266">
        <f t="shared" ref="AB4:AB45" si="0">SUM(Z4:AA4)</f>
        <v>582703.65998279979</v>
      </c>
      <c r="AC4" s="371">
        <f>'Environmental Protection'!G144</f>
        <v>0</v>
      </c>
      <c r="AD4" s="158">
        <f>'Environmental Protection'!P144</f>
        <v>0</v>
      </c>
      <c r="AE4" s="266">
        <f>AC4+AD4</f>
        <v>0</v>
      </c>
      <c r="AF4" s="229">
        <f>Safety!E20</f>
        <v>0</v>
      </c>
    </row>
    <row r="5" spans="1:41" x14ac:dyDescent="0.25">
      <c r="A5">
        <f>A4+1</f>
        <v>2</v>
      </c>
      <c r="B5" s="130">
        <f>B4+1</f>
        <v>2019</v>
      </c>
      <c r="C5" s="269">
        <v>35000000</v>
      </c>
      <c r="D5" s="383">
        <f t="shared" ref="D5:D45" si="1">Y5+AB5+AE5+AF5</f>
        <v>1206379.0238933323</v>
      </c>
      <c r="E5" s="94">
        <f>'Economic Competitiveness'!C54</f>
        <v>0</v>
      </c>
      <c r="F5" s="94">
        <f>'Economic Competitiveness'!D54</f>
        <v>0</v>
      </c>
      <c r="G5" s="2">
        <f>'Economic Competitiveness'!C117</f>
        <v>0</v>
      </c>
      <c r="H5" s="2">
        <f>'Economic Competitiveness'!D117</f>
        <v>0</v>
      </c>
      <c r="I5" s="2">
        <f>'Economic Competitiveness'!C172</f>
        <v>0</v>
      </c>
      <c r="J5" s="2">
        <f>'Economic Competitiveness'!C234</f>
        <v>0</v>
      </c>
      <c r="K5" s="2">
        <f>'Economic Competitiveness'!D234</f>
        <v>0</v>
      </c>
      <c r="L5" s="71">
        <f>'Economic Competitiveness'!C440</f>
        <v>0</v>
      </c>
      <c r="M5" s="2">
        <f>'Economic Competitiveness'!L522</f>
        <v>524054.50841557718</v>
      </c>
      <c r="N5" s="2">
        <f>'Economic Competitiveness'!L568</f>
        <v>24551.776577715071</v>
      </c>
      <c r="O5" s="2">
        <f>'Economic Competitiveness'!I621</f>
        <v>0</v>
      </c>
      <c r="P5" s="2">
        <f>'Economic Competitiveness'!J621</f>
        <v>51695.444228263332</v>
      </c>
      <c r="Q5" s="306">
        <f>-'Economic Competitiveness'!N522</f>
        <v>0</v>
      </c>
      <c r="R5" s="306">
        <f>-'Economic Competitiveness'!N568</f>
        <v>0</v>
      </c>
      <c r="S5" s="306">
        <f>-'Economic Competitiveness'!E807</f>
        <v>0</v>
      </c>
      <c r="T5" s="158">
        <f>'Economic Competitiveness'!F699</f>
        <v>0</v>
      </c>
      <c r="U5" s="158">
        <f>'Economic Competitiveness'!G699</f>
        <v>0</v>
      </c>
      <c r="V5" s="236">
        <f>-'Economic Competitiveness'!D756</f>
        <v>0</v>
      </c>
      <c r="W5" s="158">
        <v>0</v>
      </c>
      <c r="X5" s="540">
        <v>0</v>
      </c>
      <c r="Y5" s="490">
        <f t="shared" ref="Y5:Y43" si="2">SUM(E5:X5)</f>
        <v>600301.72922155564</v>
      </c>
      <c r="Z5" s="163">
        <f>'Environmental Protection'!Q93</f>
        <v>21910.78711977684</v>
      </c>
      <c r="AA5" s="158">
        <f>'Environmental Protection'!P39</f>
        <v>584166.50755199988</v>
      </c>
      <c r="AB5" s="266">
        <f t="shared" si="0"/>
        <v>606077.2946717767</v>
      </c>
      <c r="AC5" s="371">
        <f>'Environmental Protection'!G145</f>
        <v>0</v>
      </c>
      <c r="AD5" s="158">
        <f>'Environmental Protection'!P145</f>
        <v>0</v>
      </c>
      <c r="AE5" s="266">
        <f t="shared" ref="AE5:AE45" si="3">AC5+AD5</f>
        <v>0</v>
      </c>
      <c r="AF5" s="229">
        <f>Safety!E21</f>
        <v>0</v>
      </c>
    </row>
    <row r="6" spans="1:41" x14ac:dyDescent="0.25">
      <c r="A6">
        <f t="shared" ref="A6:B43" si="4">A5+1</f>
        <v>3</v>
      </c>
      <c r="B6" s="130">
        <f t="shared" si="4"/>
        <v>2020</v>
      </c>
      <c r="C6" s="269">
        <v>35000000</v>
      </c>
      <c r="D6" s="383">
        <f t="shared" si="1"/>
        <v>10325605.913169648</v>
      </c>
      <c r="E6" s="94">
        <f>'Economic Competitiveness'!C55</f>
        <v>0</v>
      </c>
      <c r="F6" s="94">
        <f>'Economic Competitiveness'!D55</f>
        <v>0</v>
      </c>
      <c r="G6" s="2">
        <f>'Economic Competitiveness'!C118</f>
        <v>0</v>
      </c>
      <c r="H6" s="2">
        <f>'Economic Competitiveness'!D118</f>
        <v>0</v>
      </c>
      <c r="I6" s="2">
        <f>'Economic Competitiveness'!C173</f>
        <v>0</v>
      </c>
      <c r="J6" s="2">
        <f>'Economic Competitiveness'!C235</f>
        <v>0</v>
      </c>
      <c r="K6" s="2">
        <f>'Economic Competitiveness'!D235</f>
        <v>0</v>
      </c>
      <c r="L6" s="71">
        <f>'Economic Competitiveness'!C441</f>
        <v>0</v>
      </c>
      <c r="M6" s="2">
        <f>'Economic Competitiveness'!L523</f>
        <v>524054.50841557718</v>
      </c>
      <c r="N6" s="2">
        <f>'Economic Competitiveness'!L569</f>
        <v>61379.44144428768</v>
      </c>
      <c r="O6" s="2">
        <f>'Economic Competitiveness'!I622</f>
        <v>0</v>
      </c>
      <c r="P6" s="2">
        <f>'Economic Competitiveness'!J622</f>
        <v>132560.46398598634</v>
      </c>
      <c r="Q6" s="306">
        <f>-'Economic Competitiveness'!N523</f>
        <v>0</v>
      </c>
      <c r="R6" s="306">
        <f>-'Economic Competitiveness'!N569</f>
        <v>-150000</v>
      </c>
      <c r="S6" s="306">
        <f>-'Economic Competitiveness'!E808</f>
        <v>-105000</v>
      </c>
      <c r="T6" s="158">
        <f>'Economic Competitiveness'!F700</f>
        <v>0</v>
      </c>
      <c r="U6" s="158">
        <f>'Economic Competitiveness'!G700</f>
        <v>0</v>
      </c>
      <c r="V6" s="236">
        <f>-'Economic Competitiveness'!D757</f>
        <v>0</v>
      </c>
      <c r="W6" s="158">
        <f>43560*29*7.3</f>
        <v>9221652</v>
      </c>
      <c r="X6" s="540">
        <v>0</v>
      </c>
      <c r="Y6" s="490">
        <f t="shared" si="2"/>
        <v>9684646.413845852</v>
      </c>
      <c r="Z6" s="163">
        <f>'Environmental Protection'!Q94</f>
        <v>23632.460847795704</v>
      </c>
      <c r="AA6" s="158">
        <f>'Environmental Protection'!P40</f>
        <v>617327.03847599984</v>
      </c>
      <c r="AB6" s="266">
        <f t="shared" si="0"/>
        <v>640959.49932379555</v>
      </c>
      <c r="AC6" s="371">
        <f>'Environmental Protection'!G146</f>
        <v>0</v>
      </c>
      <c r="AD6" s="158">
        <f>'Environmental Protection'!P146</f>
        <v>0</v>
      </c>
      <c r="AE6" s="266">
        <f t="shared" si="3"/>
        <v>0</v>
      </c>
      <c r="AF6" s="229">
        <f>Safety!E22</f>
        <v>0</v>
      </c>
    </row>
    <row r="7" spans="1:41" x14ac:dyDescent="0.25">
      <c r="A7">
        <f t="shared" si="4"/>
        <v>4</v>
      </c>
      <c r="B7" s="130">
        <f t="shared" si="4"/>
        <v>2021</v>
      </c>
      <c r="C7" s="66">
        <v>0</v>
      </c>
      <c r="D7" s="383">
        <f t="shared" si="1"/>
        <v>1557714.1652789619</v>
      </c>
      <c r="E7" s="94">
        <f>'Economic Competitiveness'!C56</f>
        <v>57030.467434683953</v>
      </c>
      <c r="F7" s="94">
        <f>'Economic Competitiveness'!D56</f>
        <v>2265.7222449525952</v>
      </c>
      <c r="G7" s="2">
        <f>'Economic Competitiveness'!C119</f>
        <v>50209.550988058501</v>
      </c>
      <c r="H7" s="2">
        <f>'Economic Competitiveness'!D119</f>
        <v>84928.811784108795</v>
      </c>
      <c r="I7" s="2">
        <f>'Economic Competitiveness'!C174</f>
        <v>186902.42393457098</v>
      </c>
      <c r="J7" s="2">
        <f>'Economic Competitiveness'!C236</f>
        <v>8738.707158908157</v>
      </c>
      <c r="K7" s="2">
        <f>'Economic Competitiveness'!D236</f>
        <v>661.34689211095906</v>
      </c>
      <c r="L7" s="71">
        <f>'Economic Competitiveness'!C442</f>
        <v>134888.59112930417</v>
      </c>
      <c r="M7" s="2">
        <f>'Economic Competitiveness'!L524</f>
        <v>557504.79618678428</v>
      </c>
      <c r="N7" s="2">
        <f>'Economic Competitiveness'!L570</f>
        <v>122758.88288857536</v>
      </c>
      <c r="O7" s="2">
        <f>'Economic Competitiveness'!I623</f>
        <v>0</v>
      </c>
      <c r="P7" s="2">
        <f>'Economic Competitiveness'!J623</f>
        <v>271935.3997166772</v>
      </c>
      <c r="Q7" s="306">
        <f>-'Economic Competitiveness'!N524</f>
        <v>-126248.06093903459</v>
      </c>
      <c r="R7" s="306">
        <f>-'Economic Competitiveness'!N570</f>
        <v>-250000</v>
      </c>
      <c r="S7" s="306">
        <f>-'Economic Competitiveness'!E809</f>
        <v>-280000</v>
      </c>
      <c r="T7" s="158">
        <f>'Economic Competitiveness'!F701</f>
        <v>0</v>
      </c>
      <c r="U7" s="158">
        <f>'Economic Competitiveness'!G701</f>
        <v>0</v>
      </c>
      <c r="V7" s="236">
        <f>-'Economic Competitiveness'!D758</f>
        <v>0</v>
      </c>
      <c r="W7" s="158">
        <v>0</v>
      </c>
      <c r="X7" s="540">
        <v>0</v>
      </c>
      <c r="Y7" s="490">
        <f t="shared" si="2"/>
        <v>821576.63941970002</v>
      </c>
      <c r="Z7" s="163">
        <f>'Environmental Protection'!Q95</f>
        <v>27666.798379261825</v>
      </c>
      <c r="AA7" s="158">
        <f>'Environmental Protection'!P41</f>
        <v>708470.72747999988</v>
      </c>
      <c r="AB7" s="266">
        <f t="shared" si="0"/>
        <v>736137.52585926175</v>
      </c>
      <c r="AC7" s="371">
        <f>'Environmental Protection'!G147</f>
        <v>0</v>
      </c>
      <c r="AD7" s="158">
        <f>'Environmental Protection'!P147</f>
        <v>0</v>
      </c>
      <c r="AE7" s="266">
        <f t="shared" si="3"/>
        <v>0</v>
      </c>
      <c r="AF7" s="229">
        <f>Safety!E23</f>
        <v>0</v>
      </c>
    </row>
    <row r="8" spans="1:41" x14ac:dyDescent="0.25">
      <c r="A8">
        <f t="shared" si="4"/>
        <v>5</v>
      </c>
      <c r="B8" s="130">
        <f t="shared" si="4"/>
        <v>2022</v>
      </c>
      <c r="C8" s="66">
        <v>0</v>
      </c>
      <c r="D8" s="383">
        <f t="shared" si="1"/>
        <v>1694773.6183087267</v>
      </c>
      <c r="E8" s="94">
        <f>'Economic Competitiveness'!C57</f>
        <v>58496.336281378812</v>
      </c>
      <c r="F8" s="94">
        <f>'Economic Competitiveness'!D57</f>
        <v>2323.9586894976683</v>
      </c>
      <c r="G8" s="2">
        <f>'Economic Competitiveness'!C120</f>
        <v>51500.100056137344</v>
      </c>
      <c r="H8" s="2">
        <f>'Economic Competitiveness'!D120</f>
        <v>87111.758987263282</v>
      </c>
      <c r="I8" s="2">
        <f>'Economic Competitiveness'!C175</f>
        <v>191706.42525073103</v>
      </c>
      <c r="J8" s="2">
        <f>'Economic Competitiveness'!C237</f>
        <v>8963.3204079456773</v>
      </c>
      <c r="K8" s="2">
        <f>'Economic Competitiveness'!D237</f>
        <v>678.34566223526531</v>
      </c>
      <c r="L8" s="71">
        <f>'Economic Competitiveness'!C443</f>
        <v>138355.6674554357</v>
      </c>
      <c r="M8" s="2">
        <f>'Economic Competitiveness'!L525</f>
        <v>669005.75542414119</v>
      </c>
      <c r="N8" s="2">
        <f>'Economic Competitiveness'!L571</f>
        <v>184138.32433286303</v>
      </c>
      <c r="O8" s="2">
        <f>'Economic Competitiveness'!I624</f>
        <v>0</v>
      </c>
      <c r="P8" s="2">
        <f>'Economic Competitiveness'!J624</f>
        <v>418387.53838523757</v>
      </c>
      <c r="Q8" s="306">
        <f>-'Economic Competitiveness'!N525</f>
        <v>-420826.86979678198</v>
      </c>
      <c r="R8" s="306">
        <f>-'Economic Competitiveness'!N571</f>
        <v>-250000</v>
      </c>
      <c r="S8" s="306">
        <f>-'Economic Competitiveness'!E810</f>
        <v>-455000</v>
      </c>
      <c r="T8" s="158">
        <f>'Economic Competitiveness'!F702</f>
        <v>17933.50913519914</v>
      </c>
      <c r="U8" s="158">
        <f>'Economic Competitiveness'!G702</f>
        <v>49191.202436073567</v>
      </c>
      <c r="V8" s="236">
        <f>-'Economic Competitiveness'!D759</f>
        <v>-15693.079814518933</v>
      </c>
      <c r="W8" s="158">
        <v>0</v>
      </c>
      <c r="X8" s="540">
        <v>0</v>
      </c>
      <c r="Y8" s="490">
        <f t="shared" si="2"/>
        <v>736272.29289283825</v>
      </c>
      <c r="Z8" s="163">
        <f>'Environmental Protection'!Q96</f>
        <v>35182.787100103022</v>
      </c>
      <c r="AA8" s="158">
        <f>'Environmental Protection'!P42</f>
        <v>883325.40389999992</v>
      </c>
      <c r="AB8" s="266">
        <f t="shared" si="0"/>
        <v>918508.1910001029</v>
      </c>
      <c r="AC8" s="371">
        <f>'Environmental Protection'!G148</f>
        <v>1550.9568255970903</v>
      </c>
      <c r="AD8" s="158">
        <f>'Environmental Protection'!P148</f>
        <v>1115.1916608885697</v>
      </c>
      <c r="AE8" s="266">
        <f t="shared" si="3"/>
        <v>2666.1484864856602</v>
      </c>
      <c r="AF8" s="229">
        <f>Safety!E24</f>
        <v>37326.985929299946</v>
      </c>
    </row>
    <row r="9" spans="1:41" x14ac:dyDescent="0.25">
      <c r="A9">
        <f t="shared" si="4"/>
        <v>6</v>
      </c>
      <c r="B9" s="130">
        <f t="shared" si="4"/>
        <v>2023</v>
      </c>
      <c r="C9" s="66">
        <v>0</v>
      </c>
      <c r="D9" s="383">
        <f t="shared" si="1"/>
        <v>2318322.2106625172</v>
      </c>
      <c r="E9" s="94">
        <f>'Economic Competitiveness'!C58</f>
        <v>59999.882733963394</v>
      </c>
      <c r="F9" s="94">
        <f>'Economic Competitiveness'!D58</f>
        <v>2383.6920004308463</v>
      </c>
      <c r="G9" s="2">
        <f>'Economic Competitiveness'!C121</f>
        <v>52823.820440516451</v>
      </c>
      <c r="H9" s="2">
        <f>'Economic Competitiveness'!D121</f>
        <v>89350.815046666379</v>
      </c>
      <c r="I9" s="2">
        <f>'Economic Competitiveness'!C176</f>
        <v>196633.90505454165</v>
      </c>
      <c r="J9" s="2">
        <f>'Economic Competitiveness'!C238</f>
        <v>9193.706949385125</v>
      </c>
      <c r="K9" s="2">
        <f>'Economic Competitiveness'!D238</f>
        <v>695.78135614221253</v>
      </c>
      <c r="L9" s="71">
        <f>'Economic Competitiveness'!C444</f>
        <v>141911.85894060761</v>
      </c>
      <c r="M9" s="2">
        <f>'Economic Competitiveness'!L526</f>
        <v>724756.2350428194</v>
      </c>
      <c r="N9" s="2">
        <f>'Economic Competitiveness'!L572</f>
        <v>245517.76577715072</v>
      </c>
      <c r="O9" s="2">
        <f>'Economic Competitiveness'!I625</f>
        <v>0</v>
      </c>
      <c r="P9" s="2">
        <f>'Economic Competitiveness'!J625</f>
        <v>572188.61524852994</v>
      </c>
      <c r="Q9" s="306">
        <f>-'Economic Competitiveness'!N526</f>
        <v>-210413.43489839099</v>
      </c>
      <c r="R9" s="306">
        <f>-'Economic Competitiveness'!N572</f>
        <v>-250000</v>
      </c>
      <c r="S9" s="306">
        <f>-'Economic Competitiveness'!E811</f>
        <v>-630000</v>
      </c>
      <c r="T9" s="158">
        <f>'Economic Competitiveness'!F703</f>
        <v>52298.14181258584</v>
      </c>
      <c r="U9" s="158">
        <f>'Economic Competitiveness'!G703</f>
        <v>143452.59823600197</v>
      </c>
      <c r="V9" s="236">
        <f>-'Economic Competitiveness'!D760</f>
        <v>-45764.546549624618</v>
      </c>
      <c r="W9" s="158">
        <v>0</v>
      </c>
      <c r="X9" s="540">
        <v>0</v>
      </c>
      <c r="Y9" s="490">
        <f t="shared" si="2"/>
        <v>1155028.8371913261</v>
      </c>
      <c r="Z9" s="163">
        <f>'Environmental Protection'!Q97</f>
        <v>48285.084958145933</v>
      </c>
      <c r="AA9" s="158">
        <f>'Environmental Protection'!P43</f>
        <v>998386.51787999971</v>
      </c>
      <c r="AB9" s="266">
        <f t="shared" si="0"/>
        <v>1046671.6028381457</v>
      </c>
      <c r="AC9" s="371">
        <f>'Environmental Protection'!G149</f>
        <v>4597.2399844875818</v>
      </c>
      <c r="AD9" s="158">
        <f>'Environmental Protection'!P149</f>
        <v>3170.6533147924529</v>
      </c>
      <c r="AE9" s="266">
        <f t="shared" si="3"/>
        <v>7767.8932992800346</v>
      </c>
      <c r="AF9" s="229">
        <f>Safety!E25</f>
        <v>108853.87733376519</v>
      </c>
    </row>
    <row r="10" spans="1:41" x14ac:dyDescent="0.25">
      <c r="A10">
        <f t="shared" si="4"/>
        <v>7</v>
      </c>
      <c r="B10" s="130">
        <f t="shared" si="4"/>
        <v>2024</v>
      </c>
      <c r="C10" s="66">
        <v>0</v>
      </c>
      <c r="D10" s="383">
        <f t="shared" si="1"/>
        <v>2657247.6389085557</v>
      </c>
      <c r="E10" s="94">
        <f>'Economic Competitiveness'!C59</f>
        <v>61542.075229681439</v>
      </c>
      <c r="F10" s="94">
        <f>'Economic Competitiveness'!D59</f>
        <v>2444.9606520958387</v>
      </c>
      <c r="G10" s="2">
        <f>'Economic Competitiveness'!C122</f>
        <v>54181.564752113387</v>
      </c>
      <c r="H10" s="2">
        <f>'Economic Competitiveness'!D122</f>
        <v>91647.422142754236</v>
      </c>
      <c r="I10" s="2">
        <f>'Economic Competitiveness'!C177</f>
        <v>201688.03714548977</v>
      </c>
      <c r="J10" s="2">
        <f>'Economic Competitiveness'!C239</f>
        <v>9430.0151756534869</v>
      </c>
      <c r="K10" s="2">
        <f>'Economic Competitiveness'!D239</f>
        <v>713.66520419672963</v>
      </c>
      <c r="L10" s="71">
        <f>'Economic Competitiveness'!C445</f>
        <v>145559.45613478875</v>
      </c>
      <c r="M10" s="2">
        <f>'Economic Competitiveness'!L527</f>
        <v>836257.19428017619</v>
      </c>
      <c r="N10" s="2">
        <f>'Economic Competitiveness'!L573</f>
        <v>306897.20722143835</v>
      </c>
      <c r="O10" s="2">
        <f>'Economic Competitiveness'!I626</f>
        <v>0</v>
      </c>
      <c r="P10" s="2">
        <f>'Economic Competitiveness'!J626</f>
        <v>733619.65891933534</v>
      </c>
      <c r="Q10" s="306">
        <f>-'Economic Competitiveness'!N527</f>
        <v>-420826.86979678198</v>
      </c>
      <c r="R10" s="306">
        <f>-'Economic Competitiveness'!N573</f>
        <v>-250000</v>
      </c>
      <c r="S10" s="306">
        <f>-'Economic Competitiveness'!E812</f>
        <v>-805000</v>
      </c>
      <c r="T10" s="158">
        <f>'Economic Competitiveness'!F704</f>
        <v>87023.224194056398</v>
      </c>
      <c r="U10" s="158">
        <f>'Economic Competitiveness'!G704</f>
        <v>238702.69927080325</v>
      </c>
      <c r="V10" s="236">
        <f>-'Economic Competitiveness'!D761</f>
        <v>-76151.432087189052</v>
      </c>
      <c r="W10" s="158">
        <v>0</v>
      </c>
      <c r="X10" s="540">
        <v>0</v>
      </c>
      <c r="Y10" s="490">
        <f t="shared" si="2"/>
        <v>1217728.8784386124</v>
      </c>
      <c r="Z10" s="163">
        <f>'Environmental Protection'!Q98</f>
        <v>72240.406788206048</v>
      </c>
      <c r="AA10" s="158">
        <f>'Environmental Protection'!P44</f>
        <v>1173241.1942999999</v>
      </c>
      <c r="AB10" s="266">
        <f t="shared" si="0"/>
        <v>1245481.6010882058</v>
      </c>
      <c r="AC10" s="371">
        <f>'Environmental Protection'!G150</f>
        <v>7762.4434191207019</v>
      </c>
      <c r="AD10" s="158">
        <f>'Environmental Protection'!P150</f>
        <v>5143.7035921374963</v>
      </c>
      <c r="AE10" s="266">
        <f t="shared" si="3"/>
        <v>12906.147011258199</v>
      </c>
      <c r="AF10" s="229">
        <f>Safety!E26</f>
        <v>181131.01237047923</v>
      </c>
    </row>
    <row r="11" spans="1:41" x14ac:dyDescent="0.25">
      <c r="A11">
        <f t="shared" si="4"/>
        <v>8</v>
      </c>
      <c r="B11" s="130">
        <f t="shared" si="4"/>
        <v>2025</v>
      </c>
      <c r="C11" s="66">
        <v>0</v>
      </c>
      <c r="D11" s="383">
        <f t="shared" si="1"/>
        <v>3386234.2604982583</v>
      </c>
      <c r="E11" s="94">
        <f>'Economic Competitiveness'!C60</f>
        <v>63123.907097769501</v>
      </c>
      <c r="F11" s="94">
        <f>'Economic Competitiveness'!D60</f>
        <v>2507.8041077523567</v>
      </c>
      <c r="G11" s="2">
        <f>'Economic Competitiveness'!C123</f>
        <v>55574.20751672452</v>
      </c>
      <c r="H11" s="2">
        <f>'Economic Competitiveness'!D123</f>
        <v>94003.059524699551</v>
      </c>
      <c r="I11" s="2">
        <f>'Economic Competitiveness'!C178</f>
        <v>206872.07690005098</v>
      </c>
      <c r="J11" s="2">
        <f>'Economic Competitiveness'!C240</f>
        <v>9672.3972933466594</v>
      </c>
      <c r="K11" s="2">
        <f>'Economic Competitiveness'!D240</f>
        <v>732.00872542071818</v>
      </c>
      <c r="L11" s="71">
        <f>'Economic Competitiveness'!C446</f>
        <v>149300.80846254592</v>
      </c>
      <c r="M11" s="2">
        <f>'Economic Competitiveness'!L528</f>
        <v>836257.19428017619</v>
      </c>
      <c r="N11" s="2">
        <f>'Economic Competitiveness'!L574</f>
        <v>368276.64866572607</v>
      </c>
      <c r="O11" s="2">
        <f>'Economic Competitiveness'!I627</f>
        <v>0</v>
      </c>
      <c r="P11" s="2">
        <f>'Economic Competitiveness'!J627</f>
        <v>902971.28958147787</v>
      </c>
      <c r="Q11" s="306">
        <f>-'Economic Competitiveness'!N528</f>
        <v>0</v>
      </c>
      <c r="R11" s="306">
        <f>-'Economic Competitiveness'!N574</f>
        <v>-250000</v>
      </c>
      <c r="S11" s="306">
        <f>-'Economic Competitiveness'!E813</f>
        <v>-980000</v>
      </c>
      <c r="T11" s="158">
        <f>'Economic Competitiveness'!F705</f>
        <v>122053.06159981187</v>
      </c>
      <c r="U11" s="158">
        <f>'Economic Competitiveness'!G705</f>
        <v>334788.73631678853</v>
      </c>
      <c r="V11" s="236">
        <f>-'Economic Competitiveness'!D762</f>
        <v>-106804.99967141396</v>
      </c>
      <c r="W11" s="158">
        <v>0</v>
      </c>
      <c r="X11" s="540">
        <v>0</v>
      </c>
      <c r="Y11" s="490">
        <f t="shared" si="2"/>
        <v>1809328.200400877</v>
      </c>
      <c r="Z11" s="163">
        <f>'Environmental Protection'!Q99</f>
        <v>76499.012802746787</v>
      </c>
      <c r="AA11" s="158">
        <f>'Environmental Protection'!P45</f>
        <v>1228508.7458399998</v>
      </c>
      <c r="AB11" s="266">
        <f t="shared" si="0"/>
        <v>1305007.7586427466</v>
      </c>
      <c r="AC11" s="371">
        <f>'Environmental Protection'!G151</f>
        <v>10822.395174955376</v>
      </c>
      <c r="AD11" s="158">
        <f>'Environmental Protection'!P151</f>
        <v>7033.4387058294033</v>
      </c>
      <c r="AE11" s="266">
        <f t="shared" si="3"/>
        <v>17855.833880784779</v>
      </c>
      <c r="AF11" s="229">
        <f>Safety!E27</f>
        <v>254042.46757384925</v>
      </c>
    </row>
    <row r="12" spans="1:41" x14ac:dyDescent="0.25">
      <c r="A12">
        <f t="shared" si="4"/>
        <v>9</v>
      </c>
      <c r="B12" s="130">
        <f t="shared" si="4"/>
        <v>2026</v>
      </c>
      <c r="C12" s="66">
        <v>0</v>
      </c>
      <c r="D12" s="383">
        <f t="shared" si="1"/>
        <v>3552059.7984910347</v>
      </c>
      <c r="E12" s="94">
        <f>'Economic Competitiveness'!C61</f>
        <v>64746.397199262283</v>
      </c>
      <c r="F12" s="94">
        <f>'Economic Competitiveness'!D61</f>
        <v>2572.2628449944768</v>
      </c>
      <c r="G12" s="2">
        <f>'Economic Competitiveness'!C124</f>
        <v>57002.645738308835</v>
      </c>
      <c r="H12" s="2">
        <f>'Economic Competitiveness'!D124</f>
        <v>96419.244463198876</v>
      </c>
      <c r="I12" s="2">
        <f>'Economic Competitiveness'!C179</f>
        <v>212189.36336848387</v>
      </c>
      <c r="J12" s="2">
        <f>'Economic Competitiveness'!C241</f>
        <v>9921.0094212660206</v>
      </c>
      <c r="K12" s="2">
        <f>'Economic Competitiveness'!D241</f>
        <v>750.82373491247745</v>
      </c>
      <c r="L12" s="71">
        <f>'Economic Competitiveness'!C447</f>
        <v>153138.32573631287</v>
      </c>
      <c r="M12" s="2">
        <f>'Economic Competitiveness'!L529</f>
        <v>836257.19428017619</v>
      </c>
      <c r="N12" s="2">
        <f>'Economic Competitiveness'!L575</f>
        <v>491035.53155430144</v>
      </c>
      <c r="O12" s="2">
        <f>'Economic Competitiveness'!I628</f>
        <v>0</v>
      </c>
      <c r="P12" s="2">
        <f>'Economic Competitiveness'!J628</f>
        <v>1234907.4587376271</v>
      </c>
      <c r="Q12" s="306">
        <f>-'Economic Competitiveness'!N529</f>
        <v>0</v>
      </c>
      <c r="R12" s="306">
        <f>-'Economic Competitiveness'!N575</f>
        <v>-500000</v>
      </c>
      <c r="S12" s="306">
        <f>-'Economic Competitiveness'!E814</f>
        <v>-1330000</v>
      </c>
      <c r="T12" s="158">
        <f>'Economic Competitiveness'!F706</f>
        <v>157327.102013814</v>
      </c>
      <c r="U12" s="158">
        <f>'Economic Competitiveness'!G706</f>
        <v>431544.61658885953</v>
      </c>
      <c r="V12" s="236">
        <f>-'Economic Competitiveness'!D763</f>
        <v>-137672.26203620128</v>
      </c>
      <c r="W12" s="158">
        <v>0</v>
      </c>
      <c r="X12" s="540">
        <v>0</v>
      </c>
      <c r="Y12" s="490">
        <f t="shared" si="2"/>
        <v>1780139.7136453169</v>
      </c>
      <c r="Z12" s="163">
        <f>'Environmental Protection'!Q100</f>
        <v>82974.52184569955</v>
      </c>
      <c r="AA12" s="158">
        <f>'Environmental Protection'!P46</f>
        <v>1339043.8489199996</v>
      </c>
      <c r="AB12" s="266">
        <f t="shared" si="0"/>
        <v>1422018.3707656991</v>
      </c>
      <c r="AC12" s="371">
        <f>'Environmental Protection'!G152</f>
        <v>13600.551457009979</v>
      </c>
      <c r="AD12" s="158">
        <f>'Environmental Protection'!P152</f>
        <v>8838.9532531326095</v>
      </c>
      <c r="AE12" s="266">
        <f t="shared" si="3"/>
        <v>22439.504710142588</v>
      </c>
      <c r="AF12" s="229">
        <f>Safety!E28</f>
        <v>327462.20936987648</v>
      </c>
    </row>
    <row r="13" spans="1:41" x14ac:dyDescent="0.25">
      <c r="A13">
        <f t="shared" si="4"/>
        <v>10</v>
      </c>
      <c r="B13" s="130">
        <f t="shared" si="4"/>
        <v>2027</v>
      </c>
      <c r="C13" s="66">
        <v>0</v>
      </c>
      <c r="D13" s="383">
        <f t="shared" si="1"/>
        <v>4085107.8366073691</v>
      </c>
      <c r="E13" s="94">
        <f>'Economic Competitiveness'!C62</f>
        <v>66410.590583243029</v>
      </c>
      <c r="F13" s="94">
        <f>'Economic Competitiveness'!D62</f>
        <v>2638.3783818223401</v>
      </c>
      <c r="G13" s="2">
        <f>'Economic Competitiveness'!C125</f>
        <v>58467.799476749933</v>
      </c>
      <c r="H13" s="2">
        <f>'Economic Competitiveness'!D125</f>
        <v>98897.533227749707</v>
      </c>
      <c r="I13" s="2">
        <f>'Economic Competitiveness'!C180</f>
        <v>217643.32142551904</v>
      </c>
      <c r="J13" s="2">
        <f>'Economic Competitiveness'!C242</f>
        <v>10176.011690974854</v>
      </c>
      <c r="K13" s="2">
        <f>'Economic Competitiveness'!D242</f>
        <v>770.12235145683235</v>
      </c>
      <c r="L13" s="71">
        <f>'Economic Competitiveness'!C448</f>
        <v>157074.47970855524</v>
      </c>
      <c r="M13" s="2">
        <f>'Economic Competitiveness'!L530</f>
        <v>836257.19428017619</v>
      </c>
      <c r="N13" s="2">
        <f>'Economic Competitiveness'!L576</f>
        <v>613794.4144428767</v>
      </c>
      <c r="O13" s="2">
        <f>'Economic Competitiveness'!I629</f>
        <v>0</v>
      </c>
      <c r="P13" s="2">
        <f>'Economic Competitiveness'!J629</f>
        <v>1583310.7554622374</v>
      </c>
      <c r="Q13" s="306">
        <f>-'Economic Competitiveness'!N530</f>
        <v>0</v>
      </c>
      <c r="R13" s="306">
        <f>-'Economic Competitiveness'!N576</f>
        <v>-500000</v>
      </c>
      <c r="S13" s="306">
        <f>-'Economic Competitiveness'!E815</f>
        <v>-1680000</v>
      </c>
      <c r="T13" s="158">
        <f>'Economic Competitiveness'!F707</f>
        <v>208713.30746138882</v>
      </c>
      <c r="U13" s="158">
        <f>'Economic Competitiveness'!G707</f>
        <v>572495.7943832801</v>
      </c>
      <c r="V13" s="236">
        <f>-'Economic Competitiveness'!D764</f>
        <v>-182638.80022873357</v>
      </c>
      <c r="W13" s="158">
        <v>0</v>
      </c>
      <c r="X13" s="540">
        <v>0</v>
      </c>
      <c r="Y13" s="490">
        <f t="shared" si="2"/>
        <v>2064010.9026472964</v>
      </c>
      <c r="Z13" s="163">
        <f>'Environmental Protection'!Q101</f>
        <v>107400.72494842924</v>
      </c>
      <c r="AA13" s="158">
        <f>'Environmental Protection'!P47</f>
        <v>1449578.9519999996</v>
      </c>
      <c r="AB13" s="266">
        <f t="shared" si="0"/>
        <v>1556979.6769484289</v>
      </c>
      <c r="AC13" s="371">
        <f>'Environmental Protection'!G153</f>
        <v>18267.192116726408</v>
      </c>
      <c r="AD13" s="158">
        <f>'Environmental Protection'!P153</f>
        <v>11432.091695363169</v>
      </c>
      <c r="AE13" s="266">
        <f t="shared" si="3"/>
        <v>29699.283812089576</v>
      </c>
      <c r="AF13" s="229">
        <f>Safety!E29</f>
        <v>434417.97319955489</v>
      </c>
    </row>
    <row r="14" spans="1:41" x14ac:dyDescent="0.25">
      <c r="A14">
        <f t="shared" si="4"/>
        <v>11</v>
      </c>
      <c r="B14" s="130">
        <f t="shared" si="4"/>
        <v>2028</v>
      </c>
      <c r="C14" s="66">
        <v>0</v>
      </c>
      <c r="D14" s="383">
        <f t="shared" si="1"/>
        <v>4640542.0039823279</v>
      </c>
      <c r="E14" s="94">
        <f>'Economic Competitiveness'!C63</f>
        <v>68117.559159961704</v>
      </c>
      <c r="F14" s="94">
        <f>'Economic Competitiveness'!D63</f>
        <v>2706.1933033839769</v>
      </c>
      <c r="G14" s="2">
        <f>'Economic Competitiveness'!C126</f>
        <v>59970.612440468452</v>
      </c>
      <c r="H14" s="2">
        <f>'Economic Competitiveness'!D126</f>
        <v>101439.52208904672</v>
      </c>
      <c r="I14" s="2">
        <f>'Economic Competitiveness'!C181</f>
        <v>223237.46397632756</v>
      </c>
      <c r="J14" s="2">
        <f>'Economic Competitiveness'!C243</f>
        <v>10437.568349939409</v>
      </c>
      <c r="K14" s="2">
        <f>'Economic Competitiveness'!D243</f>
        <v>789.9170053308668</v>
      </c>
      <c r="L14" s="71">
        <f>'Economic Competitiveness'!C449</f>
        <v>161111.8056638313</v>
      </c>
      <c r="M14" s="2">
        <f>'Economic Competitiveness'!L531</f>
        <v>836257.19428017619</v>
      </c>
      <c r="N14" s="2">
        <f>'Economic Competitiveness'!L577</f>
        <v>736553.29733145214</v>
      </c>
      <c r="O14" s="2">
        <f>'Economic Competitiveness'!I630</f>
        <v>0</v>
      </c>
      <c r="P14" s="2">
        <f>'Economic Competitiveness'!J630</f>
        <v>1948808.4013097037</v>
      </c>
      <c r="Q14" s="306">
        <f>-'Economic Competitiveness'!N531</f>
        <v>0</v>
      </c>
      <c r="R14" s="306">
        <f>-'Economic Competitiveness'!N577</f>
        <v>-500000</v>
      </c>
      <c r="S14" s="306">
        <f>-'Economic Competitiveness'!E816</f>
        <v>-2030000</v>
      </c>
      <c r="T14" s="158">
        <f>'Economic Competitiveness'!F708</f>
        <v>261026.06594218599</v>
      </c>
      <c r="U14" s="158">
        <f>'Economic Competitiveness'!G708</f>
        <v>715988.48580347165</v>
      </c>
      <c r="V14" s="236">
        <f>-'Economic Competitiveness'!D765</f>
        <v>-228416.13738945016</v>
      </c>
      <c r="W14" s="158">
        <v>0</v>
      </c>
      <c r="X14" s="540">
        <v>0</v>
      </c>
      <c r="Y14" s="490">
        <f t="shared" si="2"/>
        <v>2368027.9492658293</v>
      </c>
      <c r="Z14" s="163">
        <f>'Environmental Protection'!Q102</f>
        <v>132472.80216339914</v>
      </c>
      <c r="AA14" s="158">
        <f>'Environmental Protection'!P48</f>
        <v>1560114.0550799996</v>
      </c>
      <c r="AB14" s="266">
        <f t="shared" si="0"/>
        <v>1692586.8572433987</v>
      </c>
      <c r="AC14" s="371">
        <f>'Environmental Protection'!G154</f>
        <v>22685.728403577064</v>
      </c>
      <c r="AD14" s="158">
        <f>'Environmental Protection'!P154</f>
        <v>13939.195256266594</v>
      </c>
      <c r="AE14" s="266">
        <f t="shared" si="3"/>
        <v>36624.923659843655</v>
      </c>
      <c r="AF14" s="229">
        <f>Safety!E30</f>
        <v>543302.2738132563</v>
      </c>
    </row>
    <row r="15" spans="1:41" x14ac:dyDescent="0.25">
      <c r="A15">
        <f t="shared" si="4"/>
        <v>12</v>
      </c>
      <c r="B15" s="130">
        <f t="shared" si="4"/>
        <v>2029</v>
      </c>
      <c r="C15" s="66">
        <v>0</v>
      </c>
      <c r="D15" s="383">
        <f t="shared" si="1"/>
        <v>5130459.9043688644</v>
      </c>
      <c r="E15" s="94">
        <f>'Economic Competitiveness'!C64</f>
        <v>69868.402391254524</v>
      </c>
      <c r="F15" s="94">
        <f>'Economic Competitiveness'!D64</f>
        <v>2775.7512894044858</v>
      </c>
      <c r="G15" s="2">
        <f>'Economic Competitiveness'!C127</f>
        <v>61512.052594266504</v>
      </c>
      <c r="H15" s="2">
        <f>'Economic Competitiveness'!D127</f>
        <v>104046.84834714286</v>
      </c>
      <c r="I15" s="2">
        <f>'Economic Competitiveness'!C182</f>
        <v>228975.3942191902</v>
      </c>
      <c r="J15" s="2">
        <f>'Economic Competitiveness'!C244</f>
        <v>10705.847867321016</v>
      </c>
      <c r="K15" s="2">
        <f>'Economic Competitiveness'!D244</f>
        <v>810.22044631028996</v>
      </c>
      <c r="L15" s="71">
        <f>'Economic Competitiveness'!C450</f>
        <v>165252.90405177363</v>
      </c>
      <c r="M15" s="2">
        <f>'Economic Competitiveness'!L532</f>
        <v>836257.19428017619</v>
      </c>
      <c r="N15" s="2">
        <f>'Economic Competitiveness'!L578</f>
        <v>920691.621664315</v>
      </c>
      <c r="O15" s="2">
        <f>'Economic Competitiveness'!I631</f>
        <v>0</v>
      </c>
      <c r="P15" s="2">
        <f>'Economic Competitiveness'!J631</f>
        <v>2498623.9092628178</v>
      </c>
      <c r="Q15" s="306">
        <f>-'Economic Competitiveness'!N532</f>
        <v>0</v>
      </c>
      <c r="R15" s="306">
        <f>-'Economic Competitiveness'!N578</f>
        <v>-750000</v>
      </c>
      <c r="S15" s="306">
        <f>-'Economic Competitiveness'!E817</f>
        <v>-2555000</v>
      </c>
      <c r="T15" s="158">
        <f>'Economic Competitiveness'!F709</f>
        <v>314220.20502768073</v>
      </c>
      <c r="U15" s="158">
        <f>'Economic Competitiveness'!G709</f>
        <v>861898.78391859692</v>
      </c>
      <c r="V15" s="236">
        <f>-'Economic Competitiveness'!D766</f>
        <v>-234287.17641372335</v>
      </c>
      <c r="W15" s="158">
        <v>0</v>
      </c>
      <c r="X15" s="540">
        <v>0</v>
      </c>
      <c r="Y15" s="490">
        <f t="shared" si="2"/>
        <v>2536351.958946527</v>
      </c>
      <c r="Z15" s="163">
        <f>'Environmental Protection'!Q103</f>
        <v>170702.22415024895</v>
      </c>
      <c r="AA15" s="158">
        <f>'Environmental Protection'!P49</f>
        <v>1725916.7096999995</v>
      </c>
      <c r="AB15" s="266">
        <f t="shared" si="0"/>
        <v>1896618.9338502486</v>
      </c>
      <c r="AC15" s="371">
        <f>'Environmental Protection'!G155</f>
        <v>27108.566977936178</v>
      </c>
      <c r="AD15" s="158">
        <f>'Environmental Protection'!P155</f>
        <v>16359.355729341172</v>
      </c>
      <c r="AE15" s="266">
        <f t="shared" si="3"/>
        <v>43467.92270727735</v>
      </c>
      <c r="AF15" s="229">
        <f>Safety!E31</f>
        <v>654021.08886481135</v>
      </c>
    </row>
    <row r="16" spans="1:41" x14ac:dyDescent="0.25">
      <c r="A16">
        <f t="shared" si="4"/>
        <v>13</v>
      </c>
      <c r="B16" s="130">
        <f t="shared" si="4"/>
        <v>2030</v>
      </c>
      <c r="C16" s="66">
        <v>0</v>
      </c>
      <c r="D16" s="383">
        <f t="shared" si="1"/>
        <v>6198156.0948916711</v>
      </c>
      <c r="E16" s="94">
        <f>'Economic Competitiveness'!C65</f>
        <v>71664.247998709499</v>
      </c>
      <c r="F16" s="94">
        <f>'Economic Competitiveness'!D65</f>
        <v>2847.0971423202304</v>
      </c>
      <c r="G16" s="2">
        <f>'Economic Competitiveness'!C128</f>
        <v>63093.112782795732</v>
      </c>
      <c r="H16" s="2">
        <f>'Economic Competitiveness'!D128</f>
        <v>106721.19138603762</v>
      </c>
      <c r="I16" s="2">
        <f>'Economic Competitiveness'!C183</f>
        <v>234860.80796632453</v>
      </c>
      <c r="J16" s="2">
        <f>'Economic Competitiveness'!C245</f>
        <v>10981.02304248741</v>
      </c>
      <c r="K16" s="2">
        <f>'Economic Competitiveness'!D245</f>
        <v>831.04575188159163</v>
      </c>
      <c r="L16" s="71">
        <f>'Economic Competitiveness'!C451</f>
        <v>169500.44216204394</v>
      </c>
      <c r="M16" s="2">
        <f>'Economic Competitiveness'!L533</f>
        <v>836257.19428017619</v>
      </c>
      <c r="N16" s="2">
        <f>'Economic Competitiveness'!L579</f>
        <v>920691.621664315</v>
      </c>
      <c r="O16" s="2">
        <f>'Economic Competitiveness'!I632</f>
        <v>0</v>
      </c>
      <c r="P16" s="2">
        <f>'Economic Competitiveness'!J632</f>
        <v>2562846.6854901053</v>
      </c>
      <c r="Q16" s="306">
        <f>-'Economic Competitiveness'!N533</f>
        <v>0</v>
      </c>
      <c r="R16" s="306">
        <f>-'Economic Competitiveness'!N579</f>
        <v>0</v>
      </c>
      <c r="S16" s="306">
        <f>-'Economic Competitiveness'!E818</f>
        <v>-2555000</v>
      </c>
      <c r="T16" s="158">
        <f>'Economic Competitiveness'!F710</f>
        <v>368245.65286331991</v>
      </c>
      <c r="U16" s="158">
        <f>'Economic Competitiveness'!G710</f>
        <v>1010089.3427850866</v>
      </c>
      <c r="V16" s="236">
        <f>-'Economic Competitiveness'!D767</f>
        <v>-322240.80508544273</v>
      </c>
      <c r="W16" s="158">
        <v>0</v>
      </c>
      <c r="X16" s="540">
        <v>0</v>
      </c>
      <c r="Y16" s="490">
        <f t="shared" si="2"/>
        <v>3481388.6602301607</v>
      </c>
      <c r="Z16" s="163">
        <f>'Environmental Protection'!Q104</f>
        <v>174162.40436951074</v>
      </c>
      <c r="AA16" s="158">
        <f>'Environmental Protection'!P50</f>
        <v>1725916.7096999995</v>
      </c>
      <c r="AB16" s="266">
        <f t="shared" si="0"/>
        <v>1900079.1140695103</v>
      </c>
      <c r="AC16" s="371">
        <f>'Environmental Protection'!G156</f>
        <v>31526.457593669144</v>
      </c>
      <c r="AD16" s="158">
        <f>'Environmental Protection'!P156</f>
        <v>18691.664704794741</v>
      </c>
      <c r="AE16" s="266">
        <f t="shared" si="3"/>
        <v>50218.122298463888</v>
      </c>
      <c r="AF16" s="229">
        <f>Safety!E32</f>
        <v>766470.1982935355</v>
      </c>
    </row>
    <row r="17" spans="1:44" x14ac:dyDescent="0.25">
      <c r="A17">
        <f t="shared" si="4"/>
        <v>14</v>
      </c>
      <c r="B17" s="130">
        <f t="shared" si="4"/>
        <v>2031</v>
      </c>
      <c r="C17" s="66">
        <v>0</v>
      </c>
      <c r="D17" s="383">
        <f t="shared" si="1"/>
        <v>6562920.6207410842</v>
      </c>
      <c r="E17" s="94">
        <f>'Economic Competitiveness'!C66</f>
        <v>73506.252690034104</v>
      </c>
      <c r="F17" s="94">
        <f>'Economic Competitiveness'!D66</f>
        <v>2920.2768161361782</v>
      </c>
      <c r="G17" s="2">
        <f>'Economic Competitiveness'!C129</f>
        <v>64714.811370050491</v>
      </c>
      <c r="H17" s="2">
        <f>'Economic Competitiveness'!D129</f>
        <v>109464.27375537153</v>
      </c>
      <c r="I17" s="2">
        <f>'Economic Competitiveness'!C184</f>
        <v>240897.49602436495</v>
      </c>
      <c r="J17" s="2">
        <f>'Economic Competitiveness'!C246</f>
        <v>11263.271116313143</v>
      </c>
      <c r="K17" s="2">
        <f>'Economic Competitiveness'!D246</f>
        <v>852.40633566527742</v>
      </c>
      <c r="L17" s="71">
        <f>'Economic Competitiveness'!C452</f>
        <v>173857.15584233962</v>
      </c>
      <c r="M17" s="2">
        <f>'Economic Competitiveness'!L534</f>
        <v>836257.19428017619</v>
      </c>
      <c r="N17" s="2">
        <f>'Economic Competitiveness'!L580</f>
        <v>920691.621664315</v>
      </c>
      <c r="O17" s="2">
        <f>'Economic Competitiveness'!I633</f>
        <v>0</v>
      </c>
      <c r="P17" s="2">
        <f>'Economic Competitiveness'!J633</f>
        <v>2628720.1963361758</v>
      </c>
      <c r="Q17" s="306">
        <f>-'Economic Competitiveness'!N534</f>
        <v>0</v>
      </c>
      <c r="R17" s="306">
        <f>-'Economic Competitiveness'!N580</f>
        <v>0</v>
      </c>
      <c r="S17" s="306">
        <f>-'Economic Competitiveness'!E819</f>
        <v>-2555000</v>
      </c>
      <c r="T17" s="158">
        <f>'Economic Competitiveness'!F711</f>
        <v>423047.16182960058</v>
      </c>
      <c r="U17" s="158">
        <f>'Economic Competitiveness'!G711</f>
        <v>1160408.6194553454</v>
      </c>
      <c r="V17" s="236">
        <f>-'Economic Competitiveness'!D768</f>
        <v>-370195.97368520859</v>
      </c>
      <c r="W17" s="158">
        <v>0</v>
      </c>
      <c r="X17" s="540">
        <v>0</v>
      </c>
      <c r="Y17" s="490">
        <f t="shared" si="2"/>
        <v>3721404.7638306795</v>
      </c>
      <c r="Z17" s="163">
        <f>'Environmental Protection'!Q105</f>
        <v>178199.28129198283</v>
      </c>
      <c r="AA17" s="158">
        <f>'Environmental Protection'!P51</f>
        <v>1725916.7096999995</v>
      </c>
      <c r="AB17" s="266">
        <f t="shared" si="0"/>
        <v>1904115.9909919824</v>
      </c>
      <c r="AC17" s="371">
        <f>'Environmental Protection'!G157</f>
        <v>35930.042807272861</v>
      </c>
      <c r="AD17" s="158">
        <f>'Environmental Protection'!P157</f>
        <v>20935.213961525496</v>
      </c>
      <c r="AE17" s="266">
        <f t="shared" si="3"/>
        <v>56865.256768798354</v>
      </c>
      <c r="AF17" s="229">
        <f>Safety!E33</f>
        <v>880534.60914962355</v>
      </c>
    </row>
    <row r="18" spans="1:44" x14ac:dyDescent="0.25">
      <c r="A18">
        <f t="shared" si="4"/>
        <v>15</v>
      </c>
      <c r="B18" s="130">
        <f t="shared" si="4"/>
        <v>2032</v>
      </c>
      <c r="C18" s="66">
        <v>0</v>
      </c>
      <c r="D18" s="383">
        <f t="shared" si="1"/>
        <v>7025300.55475384</v>
      </c>
      <c r="E18" s="94">
        <f>'Economic Competitiveness'!C67</f>
        <v>75395.602904093044</v>
      </c>
      <c r="F18" s="94">
        <f>'Economic Competitiveness'!D67</f>
        <v>2995.3374460249643</v>
      </c>
      <c r="G18" s="2">
        <f>'Economic Competitiveness'!C130</f>
        <v>66378.192895298154</v>
      </c>
      <c r="H18" s="2">
        <f>'Economic Competitiveness'!D130</f>
        <v>112277.86227992376</v>
      </c>
      <c r="I18" s="2">
        <f>'Economic Competitiveness'!C185</f>
        <v>247089.34663602867</v>
      </c>
      <c r="J18" s="2">
        <f>'Economic Competitiveness'!C247</f>
        <v>11552.773885340779</v>
      </c>
      <c r="K18" s="2">
        <f>'Economic Competitiveness'!D247</f>
        <v>874.31595605560835</v>
      </c>
      <c r="L18" s="71">
        <f>'Economic Competitiveness'!C453</f>
        <v>178325.85126055861</v>
      </c>
      <c r="M18" s="2">
        <f>'Economic Competitiveness'!L535</f>
        <v>836257.19428017619</v>
      </c>
      <c r="N18" s="2">
        <f>'Economic Competitiveness'!L581</f>
        <v>920691.621664315</v>
      </c>
      <c r="O18" s="2">
        <f>'Economic Competitiveness'!I634</f>
        <v>0</v>
      </c>
      <c r="P18" s="2">
        <f>'Economic Competitiveness'!J634</f>
        <v>2696286.8710596468</v>
      </c>
      <c r="Q18" s="306">
        <f>-'Economic Competitiveness'!N535</f>
        <v>0</v>
      </c>
      <c r="R18" s="306">
        <f>-'Economic Competitiveness'!N581</f>
        <v>0</v>
      </c>
      <c r="S18" s="306">
        <f>-'Economic Competitiveness'!E820</f>
        <v>-2555000</v>
      </c>
      <c r="T18" s="158">
        <f>'Economic Competitiveness'!F712</f>
        <v>496653.39483975549</v>
      </c>
      <c r="U18" s="158">
        <f>'Economic Competitiveness'!G712</f>
        <v>1362308.8209866015</v>
      </c>
      <c r="V18" s="236">
        <f>-'Economic Competitiveness'!D769</f>
        <v>-434606.59632276261</v>
      </c>
      <c r="W18" s="158">
        <v>0</v>
      </c>
      <c r="X18" s="540">
        <v>0</v>
      </c>
      <c r="Y18" s="490">
        <f t="shared" si="2"/>
        <v>4017480.5897710556</v>
      </c>
      <c r="Z18" s="163">
        <f>'Environmental Protection'!Q106</f>
        <v>181659.46151124465</v>
      </c>
      <c r="AA18" s="158">
        <f>'Environmental Protection'!P52</f>
        <v>1725916.7096999995</v>
      </c>
      <c r="AB18" s="266">
        <f t="shared" si="0"/>
        <v>1907576.1712112441</v>
      </c>
      <c r="AC18" s="371">
        <f>'Environmental Protection'!G158</f>
        <v>42542.585355783856</v>
      </c>
      <c r="AD18" s="158">
        <f>'Environmental Protection'!P158</f>
        <v>23961.847024635299</v>
      </c>
      <c r="AE18" s="266">
        <f t="shared" si="3"/>
        <v>66504.432380419152</v>
      </c>
      <c r="AF18" s="229">
        <f>Safety!E34</f>
        <v>1033739.3613911214</v>
      </c>
    </row>
    <row r="19" spans="1:44" x14ac:dyDescent="0.25">
      <c r="A19">
        <f t="shared" si="4"/>
        <v>16</v>
      </c>
      <c r="B19" s="130">
        <f t="shared" si="4"/>
        <v>2033</v>
      </c>
      <c r="C19" s="66">
        <v>0</v>
      </c>
      <c r="D19" s="383">
        <f t="shared" si="1"/>
        <v>7496984.2381112352</v>
      </c>
      <c r="E19" s="94">
        <f>'Economic Competitiveness'!C68</f>
        <v>77333.515575095851</v>
      </c>
      <c r="F19" s="94">
        <f>'Economic Competitiveness'!D68</f>
        <v>3072.3273786867512</v>
      </c>
      <c r="G19" s="2">
        <f>'Economic Competitiveness'!C131</f>
        <v>68084.328745868872</v>
      </c>
      <c r="H19" s="2">
        <f>'Economic Competitiveness'!D131</f>
        <v>115163.76919762758</v>
      </c>
      <c r="I19" s="2">
        <f>'Economic Competitiveness'!C186</f>
        <v>253440.34798454057</v>
      </c>
      <c r="J19" s="2">
        <f>'Economic Competitiveness'!C248</f>
        <v>11849.717818876414</v>
      </c>
      <c r="K19" s="2">
        <f>'Economic Competitiveness'!D248</f>
        <v>896.78872508240943</v>
      </c>
      <c r="L19" s="71">
        <f>'Economic Competitiveness'!C454</f>
        <v>182909.40671225774</v>
      </c>
      <c r="M19" s="2">
        <f>'Economic Competitiveness'!L536</f>
        <v>836257.19428017619</v>
      </c>
      <c r="N19" s="2">
        <f>'Economic Competitiveness'!L582</f>
        <v>920691.621664315</v>
      </c>
      <c r="O19" s="2">
        <f>'Economic Competitiveness'!I635</f>
        <v>0</v>
      </c>
      <c r="P19" s="2">
        <f>'Economic Competitiveness'!J635</f>
        <v>2765590.2294893377</v>
      </c>
      <c r="Q19" s="306">
        <f>-'Economic Competitiveness'!N536</f>
        <v>0</v>
      </c>
      <c r="R19" s="306">
        <f>-'Economic Competitiveness'!N582</f>
        <v>0</v>
      </c>
      <c r="S19" s="306">
        <f>-'Economic Competitiveness'!E821</f>
        <v>-2555000</v>
      </c>
      <c r="T19" s="158">
        <f>'Economic Competitiveness'!F713</f>
        <v>571838.41387574549</v>
      </c>
      <c r="U19" s="158">
        <f>'Economic Competitiveness'!G713</f>
        <v>1568539.596217328</v>
      </c>
      <c r="V19" s="236">
        <f>-'Economic Competitiveness'!D770</f>
        <v>-500398.7675979365</v>
      </c>
      <c r="W19" s="158">
        <v>0</v>
      </c>
      <c r="X19" s="540">
        <v>0</v>
      </c>
      <c r="Y19" s="490">
        <f t="shared" si="2"/>
        <v>4320268.4900670024</v>
      </c>
      <c r="Z19" s="163">
        <f>'Environmental Protection'!Q107</f>
        <v>185119.64173050644</v>
      </c>
      <c r="AA19" s="158">
        <f>'Environmental Protection'!P53</f>
        <v>1725916.7096999995</v>
      </c>
      <c r="AB19" s="266">
        <f t="shared" si="0"/>
        <v>1911036.351430506</v>
      </c>
      <c r="AC19" s="371">
        <f>'Environmental Protection'!G159</f>
        <v>48551.275755090952</v>
      </c>
      <c r="AD19" s="158">
        <f>'Environmental Protection'!P159</f>
        <v>26897.906144100372</v>
      </c>
      <c r="AE19" s="266">
        <f t="shared" si="3"/>
        <v>75449.181899191317</v>
      </c>
      <c r="AF19" s="229">
        <f>Safety!E35</f>
        <v>1190230.214714535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</row>
    <row r="20" spans="1:44" x14ac:dyDescent="0.25">
      <c r="A20">
        <f t="shared" si="4"/>
        <v>17</v>
      </c>
      <c r="B20" s="130">
        <f t="shared" si="4"/>
        <v>2034</v>
      </c>
      <c r="C20" s="66">
        <v>0</v>
      </c>
      <c r="D20" s="383">
        <f t="shared" si="1"/>
        <v>7829031.7511053011</v>
      </c>
      <c r="E20" s="94">
        <f>'Economic Competitiveness'!C69</f>
        <v>79321.238916426606</v>
      </c>
      <c r="F20" s="94">
        <f>'Economic Competitiveness'!D69</f>
        <v>3151.2962034894331</v>
      </c>
      <c r="G20" s="2">
        <f>'Economic Competitiveness'!C132</f>
        <v>69834.317847238301</v>
      </c>
      <c r="H20" s="2">
        <f>'Economic Competitiveness'!D132</f>
        <v>118123.85332683625</v>
      </c>
      <c r="I20" s="2">
        <f>'Economic Competitiveness'!C187</f>
        <v>259954.5907624299</v>
      </c>
      <c r="J20" s="2">
        <f>'Economic Competitiveness'!C249</f>
        <v>12154.294179094917</v>
      </c>
      <c r="K20" s="2">
        <f>'Economic Competitiveness'!D249</f>
        <v>919.83911750065613</v>
      </c>
      <c r="L20" s="71">
        <f>'Economic Competitiveness'!C455</f>
        <v>187610.77447456855</v>
      </c>
      <c r="M20" s="2">
        <f>'Economic Competitiveness'!L537</f>
        <v>836257.19428017619</v>
      </c>
      <c r="N20" s="2">
        <f>'Economic Competitiveness'!L583</f>
        <v>920691.621664315</v>
      </c>
      <c r="O20" s="2">
        <f>'Economic Competitiveness'!I636</f>
        <v>0</v>
      </c>
      <c r="P20" s="2">
        <f>'Economic Competitiveness'!J636</f>
        <v>2836674.9100554767</v>
      </c>
      <c r="Q20" s="306">
        <f>-'Economic Competitiveness'!N537</f>
        <v>0</v>
      </c>
      <c r="R20" s="306">
        <f>R6</f>
        <v>-150000</v>
      </c>
      <c r="S20" s="306">
        <f>-'Economic Competitiveness'!E822</f>
        <v>-2555000</v>
      </c>
      <c r="T20" s="158">
        <f>'Economic Competitiveness'!F714</f>
        <v>648565.51962973946</v>
      </c>
      <c r="U20" s="158">
        <f>'Economic Competitiveness'!G714</f>
        <v>1779000.2797915593</v>
      </c>
      <c r="V20" s="236">
        <f>-'Economic Competitiveness'!D771</f>
        <v>-567540.37303929066</v>
      </c>
      <c r="W20" s="158">
        <v>0</v>
      </c>
      <c r="X20" s="540">
        <v>0</v>
      </c>
      <c r="Y20" s="490">
        <f t="shared" si="2"/>
        <v>4479719.3572095605</v>
      </c>
      <c r="Z20" s="163">
        <f>'Environmental Protection'!Q108</f>
        <v>189156.51865297853</v>
      </c>
      <c r="AA20" s="158">
        <f>'Environmental Protection'!P54</f>
        <v>1725916.7096999995</v>
      </c>
      <c r="AB20" s="266">
        <f t="shared" si="0"/>
        <v>1915073.2283529781</v>
      </c>
      <c r="AC20" s="371">
        <f>'Environmental Protection'!G160</f>
        <v>54565.896545672571</v>
      </c>
      <c r="AD20" s="158">
        <f>'Environmental Protection'!P160</f>
        <v>29742.486184930483</v>
      </c>
      <c r="AE20" s="266">
        <f t="shared" si="3"/>
        <v>84308.382730603058</v>
      </c>
      <c r="AF20" s="229">
        <f>Safety!E36</f>
        <v>1349930.7828121595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</row>
    <row r="21" spans="1:44" x14ac:dyDescent="0.25">
      <c r="A21">
        <f t="shared" si="4"/>
        <v>18</v>
      </c>
      <c r="B21" s="130">
        <f t="shared" si="4"/>
        <v>2035</v>
      </c>
      <c r="C21" s="66">
        <v>0</v>
      </c>
      <c r="D21" s="383">
        <f t="shared" si="1"/>
        <v>8220129.337656673</v>
      </c>
      <c r="E21" s="94">
        <f>'Economic Competitiveness'!C70</f>
        <v>81360.053224620686</v>
      </c>
      <c r="F21" s="94">
        <f>'Economic Competitiveness'!D70</f>
        <v>3232.294784409245</v>
      </c>
      <c r="G21" s="2">
        <f>'Economic Competitiveness'!C133</f>
        <v>71629.287370847655</v>
      </c>
      <c r="H21" s="2">
        <f>'Economic Competitiveness'!D133</f>
        <v>121160.02126359168</v>
      </c>
      <c r="I21" s="2">
        <f>'Economic Competitiveness'!C188</f>
        <v>266636.27080635342</v>
      </c>
      <c r="J21" s="2">
        <f>'Economic Competitiveness'!C250</f>
        <v>12466.69914423228</v>
      </c>
      <c r="K21" s="2">
        <f>'Economic Competitiveness'!D250</f>
        <v>943.481980113693</v>
      </c>
      <c r="L21" s="71">
        <f>'Economic Competitiveness'!C456</f>
        <v>192432.98270776484</v>
      </c>
      <c r="M21" s="2">
        <f>'Economic Competitiveness'!L538</f>
        <v>836257.19428017619</v>
      </c>
      <c r="N21" s="2">
        <f>'Economic Competitiveness'!L584</f>
        <v>920691.621664315</v>
      </c>
      <c r="O21" s="2">
        <f>'Economic Competitiveness'!I637</f>
        <v>0</v>
      </c>
      <c r="P21" s="2">
        <f>'Economic Competitiveness'!J637</f>
        <v>2909586.6985414047</v>
      </c>
      <c r="Q21" s="306">
        <f>-'Economic Competitiveness'!N538</f>
        <v>0</v>
      </c>
      <c r="R21" s="306">
        <f t="shared" ref="R21:R29" si="5">R7</f>
        <v>-250000</v>
      </c>
      <c r="S21" s="306">
        <f>-'Economic Competitiveness'!E823</f>
        <v>-2555000</v>
      </c>
      <c r="T21" s="158">
        <f>'Economic Competitiveness'!F715</f>
        <v>726792.83951381058</v>
      </c>
      <c r="U21" s="158">
        <f>'Economic Competitiveness'!G715</f>
        <v>1993576.0161652039</v>
      </c>
      <c r="V21" s="236">
        <f>-'Economic Competitiveness'!D772</f>
        <v>-635994.77119202574</v>
      </c>
      <c r="W21" s="158">
        <v>0</v>
      </c>
      <c r="X21" s="540">
        <v>0</v>
      </c>
      <c r="Y21" s="490">
        <f t="shared" si="2"/>
        <v>4695770.6902548186</v>
      </c>
      <c r="Z21" s="163">
        <f>'Environmental Protection'!Q109</f>
        <v>192616.69887224035</v>
      </c>
      <c r="AA21" s="158">
        <f>'Environmental Protection'!P55</f>
        <v>1725916.7096999995</v>
      </c>
      <c r="AB21" s="266">
        <f t="shared" si="0"/>
        <v>1918533.4085722398</v>
      </c>
      <c r="AC21" s="371">
        <f>'Environmental Protection'!G161</f>
        <v>60576.643230869842</v>
      </c>
      <c r="AD21" s="158">
        <f>'Environmental Protection'!P161</f>
        <v>32494.683939574879</v>
      </c>
      <c r="AE21" s="266">
        <f t="shared" si="3"/>
        <v>93071.327170444725</v>
      </c>
      <c r="AF21" s="229">
        <f>Safety!E37</f>
        <v>1512753.9116591704</v>
      </c>
      <c r="AG21" s="68"/>
      <c r="AH21" s="68"/>
      <c r="AI21" s="68"/>
      <c r="AJ21" s="68"/>
      <c r="AK21" s="68"/>
    </row>
    <row r="22" spans="1:44" x14ac:dyDescent="0.25">
      <c r="A22">
        <f t="shared" si="4"/>
        <v>19</v>
      </c>
      <c r="B22" s="130">
        <f t="shared" si="4"/>
        <v>2036</v>
      </c>
      <c r="C22" s="66">
        <v>0</v>
      </c>
      <c r="D22" s="383">
        <f t="shared" si="1"/>
        <v>8821799.7584132254</v>
      </c>
      <c r="E22" s="94">
        <f>'Economic Competitiveness'!C71</f>
        <v>83451.271704006242</v>
      </c>
      <c r="F22" s="94">
        <f>'Economic Competitiveness'!D71</f>
        <v>3315.3752927923524</v>
      </c>
      <c r="G22" s="2">
        <f>'Economic Competitiveness'!C134</f>
        <v>73470.393460117091</v>
      </c>
      <c r="H22" s="2">
        <f>'Economic Competitiveness'!D134</f>
        <v>124274.22860966672</v>
      </c>
      <c r="I22" s="2">
        <f>'Economic Competitiveness'!C189</f>
        <v>273489.69179964211</v>
      </c>
      <c r="J22" s="2">
        <f>'Economic Competitiveness'!C251</f>
        <v>12787.133934944404</v>
      </c>
      <c r="K22" s="2">
        <f>'Economic Competitiveness'!D251</f>
        <v>967.73254133608862</v>
      </c>
      <c r="L22" s="71">
        <f>'Economic Competitiveness'!C457</f>
        <v>197379.13740570672</v>
      </c>
      <c r="M22" s="2">
        <f>'Economic Competitiveness'!L539</f>
        <v>836257.19428017619</v>
      </c>
      <c r="N22" s="2">
        <f>'Economic Competitiveness'!L585</f>
        <v>920691.621664315</v>
      </c>
      <c r="O22" s="2">
        <f>'Economic Competitiveness'!I638</f>
        <v>0</v>
      </c>
      <c r="P22" s="2">
        <f>'Economic Competitiveness'!J638</f>
        <v>2984372.5575742857</v>
      </c>
      <c r="Q22" s="306">
        <f>-'Economic Competitiveness'!N539</f>
        <v>0</v>
      </c>
      <c r="R22" s="306">
        <f t="shared" si="5"/>
        <v>-250000</v>
      </c>
      <c r="S22" s="306">
        <f>-'Economic Competitiveness'!E824</f>
        <v>-2555000</v>
      </c>
      <c r="T22" s="158">
        <f>'Economic Competitiveness'!F716</f>
        <v>826495.16818541812</v>
      </c>
      <c r="U22" s="158">
        <f>'Economic Competitiveness'!G716</f>
        <v>2267057.2069382179</v>
      </c>
      <c r="V22" s="236">
        <f>-'Economic Competitiveness'!D773</f>
        <v>-723241.31004514568</v>
      </c>
      <c r="W22" s="158">
        <v>0</v>
      </c>
      <c r="X22" s="540">
        <v>0</v>
      </c>
      <c r="Y22" s="490">
        <f t="shared" si="2"/>
        <v>5075767.4033454796</v>
      </c>
      <c r="Z22" s="163">
        <f>'Environmental Protection'!Q110</f>
        <v>196653.57579471247</v>
      </c>
      <c r="AA22" s="158">
        <f>'Environmental Protection'!P56</f>
        <v>1725916.7096999995</v>
      </c>
      <c r="AB22" s="266">
        <f t="shared" si="0"/>
        <v>1922570.2854947119</v>
      </c>
      <c r="AC22" s="371">
        <f>'Environmental Protection'!G162</f>
        <v>67160.380454835453</v>
      </c>
      <c r="AD22" s="158">
        <f>'Environmental Protection'!P162</f>
        <v>36026.349757019096</v>
      </c>
      <c r="AE22" s="266">
        <f t="shared" si="3"/>
        <v>103186.73021185455</v>
      </c>
      <c r="AF22" s="229">
        <f>Safety!E38</f>
        <v>1720275.3393611785</v>
      </c>
      <c r="AG22" s="68"/>
      <c r="AH22" s="68"/>
      <c r="AI22" s="68"/>
      <c r="AJ22" s="68"/>
      <c r="AK22" s="68"/>
    </row>
    <row r="23" spans="1:44" x14ac:dyDescent="0.25">
      <c r="A23">
        <f t="shared" si="4"/>
        <v>20</v>
      </c>
      <c r="B23" s="130">
        <f t="shared" si="4"/>
        <v>2037</v>
      </c>
      <c r="C23" s="66">
        <v>0</v>
      </c>
      <c r="D23" s="383">
        <f t="shared" si="1"/>
        <v>9439398.8126823846</v>
      </c>
      <c r="E23" s="94">
        <f>'Economic Competitiveness'!C72</f>
        <v>85596.241312541752</v>
      </c>
      <c r="F23" s="94">
        <f>'Economic Competitiveness'!D72</f>
        <v>3400.5912409585171</v>
      </c>
      <c r="G23" s="2">
        <f>'Economic Competitiveness'!C135</f>
        <v>75358.821975119965</v>
      </c>
      <c r="H23" s="2">
        <f>'Economic Competitiveness'!D135</f>
        <v>127468.48123217208</v>
      </c>
      <c r="I23" s="2">
        <f>'Economic Competitiveness'!C190</f>
        <v>280519.26804431202</v>
      </c>
      <c r="J23" s="2">
        <f>'Economic Competitiveness'!C252</f>
        <v>13115.804943913727</v>
      </c>
      <c r="K23" s="2">
        <f>'Economic Competitiveness'!D252</f>
        <v>992.60642100228779</v>
      </c>
      <c r="L23" s="71">
        <f>'Economic Competitiveness'!C458</f>
        <v>202452.42439641737</v>
      </c>
      <c r="M23" s="2">
        <f>'Economic Competitiveness'!L540</f>
        <v>836257.19428017619</v>
      </c>
      <c r="N23" s="2">
        <f>'Economic Competitiveness'!L586</f>
        <v>920691.621664315</v>
      </c>
      <c r="O23" s="2">
        <f>'Economic Competitiveness'!I639</f>
        <v>0</v>
      </c>
      <c r="P23" s="2">
        <f>'Economic Competitiveness'!J639</f>
        <v>3061080.6568738315</v>
      </c>
      <c r="Q23" s="306">
        <f>-'Economic Competitiveness'!N540</f>
        <v>0</v>
      </c>
      <c r="R23" s="306">
        <f t="shared" si="5"/>
        <v>-250000</v>
      </c>
      <c r="S23" s="306">
        <f>-'Economic Competitiveness'!E825</f>
        <v>-2555000</v>
      </c>
      <c r="T23" s="158">
        <f>'Economic Competitiveness'!F717</f>
        <v>928626.50535884988</v>
      </c>
      <c r="U23" s="158">
        <f>'Economic Competitiveness'!G717</f>
        <v>2547201.112076357</v>
      </c>
      <c r="V23" s="236">
        <f>-'Economic Competitiveness'!D774</f>
        <v>-812613.40190643072</v>
      </c>
      <c r="W23" s="158">
        <v>0</v>
      </c>
      <c r="X23" s="540">
        <v>0</v>
      </c>
      <c r="Y23" s="490">
        <f t="shared" si="2"/>
        <v>5465147.9279135363</v>
      </c>
      <c r="Z23" s="163">
        <f>'Environmental Protection'!Q111</f>
        <v>200113.75601397426</v>
      </c>
      <c r="AA23" s="158">
        <f>'Environmental Protection'!P57</f>
        <v>1725916.7096999995</v>
      </c>
      <c r="AB23" s="266">
        <f t="shared" si="0"/>
        <v>1926030.4657139739</v>
      </c>
      <c r="AC23" s="371">
        <f>'Environmental Protection'!G163</f>
        <v>75904.054718496322</v>
      </c>
      <c r="AD23" s="158">
        <f>'Environmental Protection'!P163</f>
        <v>39463.834595277847</v>
      </c>
      <c r="AE23" s="266">
        <f t="shared" si="3"/>
        <v>115367.88931377417</v>
      </c>
      <c r="AF23" s="229">
        <f>Safety!E39</f>
        <v>1932852.5297410996</v>
      </c>
      <c r="AG23" s="68"/>
      <c r="AH23" s="68"/>
      <c r="AI23" s="68"/>
      <c r="AJ23" s="68"/>
      <c r="AK23" s="68"/>
    </row>
    <row r="24" spans="1:44" x14ac:dyDescent="0.25">
      <c r="A24">
        <f t="shared" si="4"/>
        <v>21</v>
      </c>
      <c r="B24" s="130">
        <f t="shared" si="4"/>
        <v>2038</v>
      </c>
      <c r="C24" s="66">
        <v>0</v>
      </c>
      <c r="D24" s="383">
        <f t="shared" si="1"/>
        <v>10070836.140788782</v>
      </c>
      <c r="E24" s="94">
        <f>'Economic Competitiveness'!C73</f>
        <v>87796.34362939428</v>
      </c>
      <c r="F24" s="94">
        <f>'Economic Competitiveness'!D73</f>
        <v>3487.9975166684881</v>
      </c>
      <c r="G24" s="2">
        <f>'Economic Competitiveness'!C136</f>
        <v>77295.789256397606</v>
      </c>
      <c r="H24" s="2">
        <f>'Economic Competitiveness'!D136</f>
        <v>130744.83655553934</v>
      </c>
      <c r="I24" s="2">
        <f>'Economic Competitiveness'!C191</f>
        <v>287729.52730432508</v>
      </c>
      <c r="J24" s="2">
        <f>'Economic Competitiveness'!C253</f>
        <v>13452.923868787153</v>
      </c>
      <c r="K24" s="2">
        <f>'Economic Competitiveness'!D253</f>
        <v>1018.1196404273777</v>
      </c>
      <c r="L24" s="71">
        <f>'Economic Competitiveness'!C459</f>
        <v>207656.11139408118</v>
      </c>
      <c r="M24" s="2">
        <f>'Economic Competitiveness'!L541</f>
        <v>836257.19428017619</v>
      </c>
      <c r="N24" s="2">
        <f>'Economic Competitiveness'!L587</f>
        <v>920691.621664315</v>
      </c>
      <c r="O24" s="2">
        <f>'Economic Competitiveness'!I640</f>
        <v>0</v>
      </c>
      <c r="P24" s="2">
        <f>'Economic Competitiveness'!J640</f>
        <v>3139760.4042785079</v>
      </c>
      <c r="Q24" s="306">
        <f>-'Economic Competitiveness'!N541</f>
        <v>0</v>
      </c>
      <c r="R24" s="306">
        <f t="shared" si="5"/>
        <v>-250000</v>
      </c>
      <c r="S24" s="306">
        <f>-'Economic Competitiveness'!E826</f>
        <v>-2555000</v>
      </c>
      <c r="T24" s="158">
        <f>'Economic Competitiveness'!F718</f>
        <v>1033167.2970077483</v>
      </c>
      <c r="U24" s="158">
        <f>'Economic Competitiveness'!G718</f>
        <v>2833954.0953357732</v>
      </c>
      <c r="V24" s="236">
        <f>-'Economic Competitiveness'!D775</f>
        <v>-904093.93562970078</v>
      </c>
      <c r="W24" s="158">
        <v>0</v>
      </c>
      <c r="X24" s="540">
        <v>0</v>
      </c>
      <c r="Y24" s="490">
        <f t="shared" si="2"/>
        <v>5863918.3261024393</v>
      </c>
      <c r="Z24" s="163">
        <f>'Environmental Protection'!Q112</f>
        <v>204150.63293644635</v>
      </c>
      <c r="AA24" s="158">
        <f>'Environmental Protection'!P58</f>
        <v>1725916.7096999995</v>
      </c>
      <c r="AB24" s="266">
        <f t="shared" si="0"/>
        <v>1930067.342636446</v>
      </c>
      <c r="AC24" s="371">
        <f>'Environmental Protection'!G164</f>
        <v>83599.445210027145</v>
      </c>
      <c r="AD24" s="158">
        <f>'Environmental Protection'!P164</f>
        <v>42806.243987680551</v>
      </c>
      <c r="AE24" s="266">
        <f t="shared" si="3"/>
        <v>126405.68919770769</v>
      </c>
      <c r="AF24" s="229">
        <f>Safety!E40</f>
        <v>2150444.7828521905</v>
      </c>
      <c r="AG24" s="68"/>
      <c r="AH24" s="68"/>
      <c r="AI24" s="68"/>
      <c r="AJ24" s="68"/>
      <c r="AK24" s="68"/>
    </row>
    <row r="25" spans="1:44" x14ac:dyDescent="0.25">
      <c r="A25">
        <f t="shared" si="4"/>
        <v>22</v>
      </c>
      <c r="B25" s="130">
        <f t="shared" si="4"/>
        <v>2039</v>
      </c>
      <c r="C25" s="66">
        <v>0</v>
      </c>
      <c r="D25" s="383">
        <f t="shared" si="1"/>
        <v>10715955.079849331</v>
      </c>
      <c r="E25" s="94">
        <f>'Economic Competitiveness'!C74</f>
        <v>90052.995744817352</v>
      </c>
      <c r="F25" s="94">
        <f>'Economic Competitiveness'!D74</f>
        <v>3577.6504184773175</v>
      </c>
      <c r="G25" s="2">
        <f>'Economic Competitiveness'!C137</f>
        <v>79282.542908406715</v>
      </c>
      <c r="H25" s="2">
        <f>'Economic Competitiveness'!D137</f>
        <v>134105.40488671206</v>
      </c>
      <c r="I25" s="2">
        <f>'Economic Competitiveness'!C192</f>
        <v>295125.11372193071</v>
      </c>
      <c r="J25" s="2">
        <f>'Economic Competitiveness'!C254</f>
        <v>13798.707848530928</v>
      </c>
      <c r="K25" s="2">
        <f>'Economic Competitiveness'!D254</f>
        <v>1044.2886327264487</v>
      </c>
      <c r="L25" s="71">
        <f>'Economic Competitiveness'!C460</f>
        <v>212993.55010378495</v>
      </c>
      <c r="M25" s="2">
        <f>'Economic Competitiveness'!L542</f>
        <v>836257.19428017619</v>
      </c>
      <c r="N25" s="2">
        <f>'Economic Competitiveness'!L588</f>
        <v>920691.621664315</v>
      </c>
      <c r="O25" s="2">
        <f>'Economic Competitiveness'!I641</f>
        <v>0</v>
      </c>
      <c r="P25" s="2">
        <f>'Economic Competitiveness'!J641</f>
        <v>3220462.477569229</v>
      </c>
      <c r="Q25" s="306">
        <f>-'Economic Competitiveness'!N542</f>
        <v>0</v>
      </c>
      <c r="R25" s="306">
        <f t="shared" si="5"/>
        <v>-250000</v>
      </c>
      <c r="S25" s="306">
        <f>-'Economic Competitiveness'!E827</f>
        <v>-2555000</v>
      </c>
      <c r="T25" s="158">
        <f>'Economic Competitiveness'!F719</f>
        <v>1140092.9034085446</v>
      </c>
      <c r="U25" s="158">
        <f>'Economic Competitiveness'!G719</f>
        <v>3127248.5705223265</v>
      </c>
      <c r="V25" s="236">
        <f>-'Economic Competitiveness'!D776</f>
        <v>-997661.34972659044</v>
      </c>
      <c r="W25" s="158">
        <v>0</v>
      </c>
      <c r="X25" s="540">
        <v>0</v>
      </c>
      <c r="Y25" s="490">
        <f t="shared" si="2"/>
        <v>6272071.6719833873</v>
      </c>
      <c r="Z25" s="163">
        <f>'Environmental Protection'!Q113</f>
        <v>207610.81315570817</v>
      </c>
      <c r="AA25" s="158">
        <f>'Environmental Protection'!P59</f>
        <v>1725916.7096999995</v>
      </c>
      <c r="AB25" s="266">
        <f t="shared" si="0"/>
        <v>1933527.5228557077</v>
      </c>
      <c r="AC25" s="371">
        <f>'Environmental Protection'!G165</f>
        <v>91302.384249985742</v>
      </c>
      <c r="AD25" s="158">
        <f>'Environmental Protection'!P165</f>
        <v>46052.687433767642</v>
      </c>
      <c r="AE25" s="266">
        <f t="shared" si="3"/>
        <v>137355.0716837534</v>
      </c>
      <c r="AF25" s="229">
        <f>Safety!E41</f>
        <v>2373000.8133264831</v>
      </c>
      <c r="AG25" s="68"/>
      <c r="AH25" s="68"/>
      <c r="AI25" s="68"/>
      <c r="AJ25" s="68"/>
      <c r="AK25" s="68"/>
    </row>
    <row r="26" spans="1:44" x14ac:dyDescent="0.25">
      <c r="A26">
        <f t="shared" si="4"/>
        <v>23</v>
      </c>
      <c r="B26" s="130">
        <f t="shared" si="4"/>
        <v>2040</v>
      </c>
      <c r="C26" s="66">
        <v>0</v>
      </c>
      <c r="D26" s="383">
        <f t="shared" si="1"/>
        <v>11238127.281107334</v>
      </c>
      <c r="E26" s="94">
        <f>'Economic Competitiveness'!C75</f>
        <v>92367.651172901591</v>
      </c>
      <c r="F26" s="94">
        <f>'Economic Competitiveness'!D75</f>
        <v>3669.6076919963716</v>
      </c>
      <c r="G26" s="2">
        <f>'Economic Competitiveness'!C138</f>
        <v>81320.362603103844</v>
      </c>
      <c r="H26" s="2">
        <f>'Economic Competitiveness'!D138</f>
        <v>137552.35077439871</v>
      </c>
      <c r="I26" s="2">
        <f>'Economic Competitiveness'!C193</f>
        <v>302710.79080896708</v>
      </c>
      <c r="J26" s="2">
        <f>'Economic Competitiveness'!C255</f>
        <v>14153.379603290279</v>
      </c>
      <c r="K26" s="2">
        <f>'Economic Competitiveness'!D255</f>
        <v>1071.1302533991964</v>
      </c>
      <c r="L26" s="71">
        <f>'Economic Competitiveness'!C461</f>
        <v>218468.17838035765</v>
      </c>
      <c r="M26" s="2">
        <f>'Economic Competitiveness'!L543</f>
        <v>836257.19428017619</v>
      </c>
      <c r="N26" s="2">
        <f>'Economic Competitiveness'!L589</f>
        <v>920691.621664315</v>
      </c>
      <c r="O26" s="2">
        <f>'Economic Competitiveness'!I642</f>
        <v>0</v>
      </c>
      <c r="P26" s="2">
        <f>'Economic Competitiveness'!J642</f>
        <v>3303238.8571110079</v>
      </c>
      <c r="Q26" s="306">
        <f>-'Economic Competitiveness'!N543</f>
        <v>0</v>
      </c>
      <c r="R26" s="306">
        <f t="shared" si="5"/>
        <v>-500000</v>
      </c>
      <c r="S26" s="306">
        <f>-'Economic Competitiveness'!E828</f>
        <v>-2555000</v>
      </c>
      <c r="T26" s="158">
        <f>'Economic Competitiveness'!F720</f>
        <v>1271534.7040321098</v>
      </c>
      <c r="U26" s="158">
        <f>'Economic Competitiveness'!G720</f>
        <v>3487790.4016994187</v>
      </c>
      <c r="V26" s="236">
        <f>-'Economic Competitiveness'!D777</f>
        <v>-1112682.1553368578</v>
      </c>
      <c r="W26" s="158">
        <v>0</v>
      </c>
      <c r="X26" s="540">
        <v>0</v>
      </c>
      <c r="Y26" s="490">
        <f t="shared" si="2"/>
        <v>6503144.0747385854</v>
      </c>
      <c r="Z26" s="163">
        <f>'Environmental Protection'!Q114</f>
        <v>211647.69007818028</v>
      </c>
      <c r="AA26" s="158">
        <f>'Environmental Protection'!P60</f>
        <v>1725916.7096999995</v>
      </c>
      <c r="AB26" s="266">
        <f t="shared" si="0"/>
        <v>1937564.3997781798</v>
      </c>
      <c r="AC26" s="371">
        <f>'Environmental Protection'!G166</f>
        <v>100758.67993338732</v>
      </c>
      <c r="AD26" s="158">
        <f>'Environmental Protection'!P166</f>
        <v>50075.030109311658</v>
      </c>
      <c r="AE26" s="266">
        <f t="shared" si="3"/>
        <v>150833.71004269898</v>
      </c>
      <c r="AF26" s="229">
        <f>Safety!E42</f>
        <v>2646585.0965478714</v>
      </c>
      <c r="AG26" s="68"/>
      <c r="AH26" s="68"/>
      <c r="AI26" s="68"/>
      <c r="AJ26" s="68"/>
      <c r="AK26" s="68"/>
    </row>
    <row r="27" spans="1:44" x14ac:dyDescent="0.25">
      <c r="A27">
        <f t="shared" si="4"/>
        <v>24</v>
      </c>
      <c r="B27" s="130">
        <f t="shared" si="4"/>
        <v>2041</v>
      </c>
      <c r="C27" s="66">
        <v>0</v>
      </c>
      <c r="D27" s="383">
        <f t="shared" si="1"/>
        <v>12029455.623870268</v>
      </c>
      <c r="E27" s="94">
        <f>'Economic Competitiveness'!C76</f>
        <v>94741.800787786036</v>
      </c>
      <c r="F27" s="94">
        <f>'Economic Competitiveness'!D76</f>
        <v>3763.9285670873919</v>
      </c>
      <c r="G27" s="2">
        <f>'Economic Competitiveness'!C139</f>
        <v>83410.560904184633</v>
      </c>
      <c r="H27" s="2">
        <f>'Economic Competitiveness'!D139</f>
        <v>141087.89440326276</v>
      </c>
      <c r="I27" s="2">
        <f>'Economic Competitiveness'!C194</f>
        <v>310491.44451504853</v>
      </c>
      <c r="J27" s="2">
        <f>'Economic Competitiveness'!C256</f>
        <v>14517.167577843897</v>
      </c>
      <c r="K27" s="2">
        <f>'Economic Competitiveness'!D256</f>
        <v>1098.6617911865817</v>
      </c>
      <c r="L27" s="71">
        <f>'Economic Competitiveness'!C462</f>
        <v>224083.52244269967</v>
      </c>
      <c r="M27" s="2">
        <f>'Economic Competitiveness'!L544</f>
        <v>836257.19428017619</v>
      </c>
      <c r="N27" s="2">
        <f>'Economic Competitiveness'!L590</f>
        <v>920691.621664315</v>
      </c>
      <c r="O27" s="2">
        <f>'Economic Competitiveness'!I643</f>
        <v>0</v>
      </c>
      <c r="P27" s="2">
        <f>'Economic Competitiveness'!J643</f>
        <v>3388142.8593336199</v>
      </c>
      <c r="Q27" s="306">
        <f>-'Economic Competitiveness'!N544</f>
        <v>0</v>
      </c>
      <c r="R27" s="306">
        <f t="shared" si="5"/>
        <v>-500000</v>
      </c>
      <c r="S27" s="306">
        <f>-'Economic Competitiveness'!E829</f>
        <v>-2555000</v>
      </c>
      <c r="T27" s="158">
        <f>'Economic Competitiveness'!F721</f>
        <v>1406434.7829392895</v>
      </c>
      <c r="U27" s="158">
        <f>'Economic Competitiveness'!G721</f>
        <v>3857818.2105425154</v>
      </c>
      <c r="V27" s="236">
        <f>-'Economic Competitiveness'!D778</f>
        <v>-1230729.1972914145</v>
      </c>
      <c r="W27" s="158">
        <v>0</v>
      </c>
      <c r="X27" s="540">
        <v>0</v>
      </c>
      <c r="Y27" s="490">
        <f t="shared" si="2"/>
        <v>6996810.4524576021</v>
      </c>
      <c r="Z27" s="163">
        <f>'Environmental Protection'!Q115</f>
        <v>215107.87029744204</v>
      </c>
      <c r="AA27" s="158">
        <f>'Environmental Protection'!P61</f>
        <v>1725916.7096999995</v>
      </c>
      <c r="AB27" s="266">
        <f t="shared" si="0"/>
        <v>1941024.5799974415</v>
      </c>
      <c r="AC27" s="371">
        <f>'Environmental Protection'!G167</f>
        <v>110253.47651026298</v>
      </c>
      <c r="AD27" s="158">
        <f>'Environmental Protection'!P167</f>
        <v>53999.640002234119</v>
      </c>
      <c r="AE27" s="266">
        <f t="shared" si="3"/>
        <v>164253.1165124971</v>
      </c>
      <c r="AF27" s="229">
        <f>Safety!E43</f>
        <v>2927367.4749027276</v>
      </c>
      <c r="AG27" s="68"/>
      <c r="AH27" s="68"/>
      <c r="AI27" s="68"/>
      <c r="AJ27" s="68"/>
      <c r="AK27" s="68"/>
    </row>
    <row r="28" spans="1:44" x14ac:dyDescent="0.25">
      <c r="A28">
        <f t="shared" si="4"/>
        <v>25</v>
      </c>
      <c r="B28" s="130">
        <f t="shared" si="4"/>
        <v>2042</v>
      </c>
      <c r="C28" s="66">
        <v>0</v>
      </c>
      <c r="D28" s="383">
        <f t="shared" si="1"/>
        <v>12842295.871944062</v>
      </c>
      <c r="E28" s="94">
        <f>'Economic Competitiveness'!C77</f>
        <v>97176.973783933092</v>
      </c>
      <c r="F28" s="94">
        <f>'Economic Competitiveness'!D77</f>
        <v>3860.673796012567</v>
      </c>
      <c r="G28" s="2">
        <f>'Economic Competitiveness'!C140</f>
        <v>85554.484112508697</v>
      </c>
      <c r="H28" s="2">
        <f>'Economic Competitiveness'!D140</f>
        <v>144714.31302394794</v>
      </c>
      <c r="I28" s="2">
        <f>'Economic Competitiveness'!C195</f>
        <v>318472.08637461526</v>
      </c>
      <c r="J28" s="2">
        <f>'Economic Competitiveness'!C257</f>
        <v>14890.30608874567</v>
      </c>
      <c r="K28" s="2">
        <f>'Economic Competitiveness'!D257</f>
        <v>1126.9009792065442</v>
      </c>
      <c r="L28" s="71">
        <f>'Economic Competitiveness'!C463</f>
        <v>229843.19914502729</v>
      </c>
      <c r="M28" s="2">
        <f>'Economic Competitiveness'!L545</f>
        <v>836257.19428017619</v>
      </c>
      <c r="N28" s="2">
        <f>'Economic Competitiveness'!L591</f>
        <v>920691.621664315</v>
      </c>
      <c r="O28" s="2">
        <f>'Economic Competitiveness'!I644</f>
        <v>0</v>
      </c>
      <c r="P28" s="2">
        <f>'Economic Competitiveness'!J644</f>
        <v>3475229.1710728132</v>
      </c>
      <c r="Q28" s="306">
        <f>-'Economic Competitiveness'!N545</f>
        <v>0</v>
      </c>
      <c r="R28" s="306">
        <f t="shared" si="5"/>
        <v>-500000</v>
      </c>
      <c r="S28" s="306">
        <f>-'Economic Competitiveness'!E830</f>
        <v>-2555000</v>
      </c>
      <c r="T28" s="158">
        <f>'Economic Competitiveness'!F722</f>
        <v>1544795.273818031</v>
      </c>
      <c r="U28" s="158">
        <f>'Economic Competitiveness'!G722</f>
        <v>4237337.8497085003</v>
      </c>
      <c r="V28" s="236">
        <f>-'Economic Competitiveness'!D779</f>
        <v>-1351804.3427170448</v>
      </c>
      <c r="W28" s="158">
        <v>0</v>
      </c>
      <c r="X28" s="540">
        <v>0</v>
      </c>
      <c r="Y28" s="490">
        <f t="shared" si="2"/>
        <v>7503145.7051307885</v>
      </c>
      <c r="Z28" s="163">
        <f>'Environmental Protection'!Q116</f>
        <v>218568.05051670386</v>
      </c>
      <c r="AA28" s="158">
        <f>'Environmental Protection'!P62</f>
        <v>1725916.7096999995</v>
      </c>
      <c r="AB28" s="266">
        <f t="shared" si="0"/>
        <v>1944484.7602167034</v>
      </c>
      <c r="AC28" s="371">
        <f>'Environmental Protection'!G168</f>
        <v>121487.37516112656</v>
      </c>
      <c r="AD28" s="158">
        <f>'Environmental Protection'!P168</f>
        <v>57825.641964882081</v>
      </c>
      <c r="AE28" s="266">
        <f t="shared" si="3"/>
        <v>179313.01712600864</v>
      </c>
      <c r="AF28" s="229">
        <f>Safety!E44</f>
        <v>3215352.3894705623</v>
      </c>
      <c r="AG28" s="68"/>
      <c r="AH28" s="68"/>
      <c r="AI28" s="68"/>
      <c r="AJ28" s="68"/>
      <c r="AK28" s="68"/>
    </row>
    <row r="29" spans="1:44" x14ac:dyDescent="0.25">
      <c r="A29">
        <f t="shared" si="4"/>
        <v>26</v>
      </c>
      <c r="B29" s="130">
        <f t="shared" si="4"/>
        <v>2043</v>
      </c>
      <c r="C29" s="66">
        <v>0</v>
      </c>
      <c r="D29" s="383">
        <f t="shared" si="1"/>
        <v>13423958.297288299</v>
      </c>
      <c r="E29" s="94">
        <f>'Economic Competitiveness'!C78</f>
        <v>99674.738661085736</v>
      </c>
      <c r="F29" s="94">
        <f>'Economic Competitiveness'!D78</f>
        <v>3959.9056925651853</v>
      </c>
      <c r="G29" s="2">
        <f>'Economic Competitiveness'!C141</f>
        <v>87753.513133254644</v>
      </c>
      <c r="H29" s="2">
        <f>'Economic Competitiveness'!D141</f>
        <v>148433.94241985996</v>
      </c>
      <c r="I29" s="2">
        <f>'Economic Competitiveness'!C196</f>
        <v>326657.85673487274</v>
      </c>
      <c r="J29" s="2">
        <f>'Economic Competitiveness'!C258</f>
        <v>15273.035475248445</v>
      </c>
      <c r="K29" s="2">
        <f>'Economic Competitiveness'!D258</f>
        <v>1155.8660063759373</v>
      </c>
      <c r="L29" s="71">
        <f>'Economic Competitiveness'!C464</f>
        <v>235750.91830649565</v>
      </c>
      <c r="M29" s="2">
        <f>'Economic Competitiveness'!L546</f>
        <v>836257.19428017619</v>
      </c>
      <c r="N29" s="2">
        <f>'Economic Competitiveness'!L592</f>
        <v>920691.621664315</v>
      </c>
      <c r="O29" s="2">
        <f>'Economic Competitiveness'!I645</f>
        <v>0</v>
      </c>
      <c r="P29" s="2">
        <f>'Economic Competitiveness'!J645</f>
        <v>3564553.8847942147</v>
      </c>
      <c r="Q29" s="306">
        <f>-'Economic Competitiveness'!N546</f>
        <v>0</v>
      </c>
      <c r="R29" s="306">
        <f t="shared" si="5"/>
        <v>-750000</v>
      </c>
      <c r="S29" s="306">
        <f>-'Economic Competitiveness'!E831</f>
        <v>-2555000</v>
      </c>
      <c r="T29" s="158">
        <f>'Economic Competitiveness'!F723</f>
        <v>1686613.4256003404</v>
      </c>
      <c r="U29" s="158">
        <f>'Economic Competitiveness'!G723</f>
        <v>4626341.773081244</v>
      </c>
      <c r="V29" s="236">
        <f>-'Economic Competitiveness'!D780</f>
        <v>-1475905.1842360704</v>
      </c>
      <c r="W29" s="158">
        <v>0</v>
      </c>
      <c r="X29" s="540">
        <v>0</v>
      </c>
      <c r="Y29" s="490">
        <f t="shared" si="2"/>
        <v>7772212.4916139785</v>
      </c>
      <c r="Z29" s="163">
        <f>'Environmental Protection'!Q117</f>
        <v>222604.92743917598</v>
      </c>
      <c r="AA29" s="158">
        <f>'Environmental Protection'!P63</f>
        <v>1725916.7096999995</v>
      </c>
      <c r="AB29" s="266">
        <f t="shared" si="0"/>
        <v>1948521.6371391756</v>
      </c>
      <c r="AC29" s="371">
        <f>'Environmental Protection'!G169</f>
        <v>131137.88719074539</v>
      </c>
      <c r="AD29" s="158">
        <f>'Environmental Protection'!P169</f>
        <v>61552.167193558351</v>
      </c>
      <c r="AE29" s="266">
        <f t="shared" si="3"/>
        <v>192690.05438430374</v>
      </c>
      <c r="AF29" s="229">
        <f>Safety!E45</f>
        <v>3510534.1141508403</v>
      </c>
      <c r="AG29" s="68"/>
      <c r="AH29" s="68"/>
      <c r="AI29" s="68"/>
      <c r="AJ29" s="68"/>
      <c r="AK29" s="68"/>
    </row>
    <row r="30" spans="1:44" x14ac:dyDescent="0.25">
      <c r="A30">
        <f t="shared" si="4"/>
        <v>27</v>
      </c>
      <c r="B30" s="130">
        <f t="shared" si="4"/>
        <v>2044</v>
      </c>
      <c r="C30" s="66">
        <v>0</v>
      </c>
      <c r="D30" s="383">
        <f t="shared" si="1"/>
        <v>15149069.905883286</v>
      </c>
      <c r="E30" s="94">
        <f>'Economic Competitiveness'!C79</f>
        <v>102236.70423454128</v>
      </c>
      <c r="F30" s="94">
        <f>'Economic Competitiveness'!D79</f>
        <v>4061.6881722060716</v>
      </c>
      <c r="G30" s="2">
        <f>'Economic Competitiveness'!C142</f>
        <v>90009.064365363869</v>
      </c>
      <c r="H30" s="2">
        <f>'Economic Competitiveness'!D142</f>
        <v>152249.17841164922</v>
      </c>
      <c r="I30" s="2">
        <f>'Economic Competitiveness'!C197</f>
        <v>335054.02806669933</v>
      </c>
      <c r="J30" s="2">
        <f>'Economic Competitiveness'!C259</f>
        <v>15665.602254107011</v>
      </c>
      <c r="K30" s="2">
        <f>'Economic Competitiveness'!D259</f>
        <v>1185.5755291260464</v>
      </c>
      <c r="L30" s="71">
        <f>'Economic Competitiveness'!C465</f>
        <v>241810.48510070058</v>
      </c>
      <c r="M30" s="2">
        <f>'Economic Competitiveness'!L547</f>
        <v>836257.19428017619</v>
      </c>
      <c r="N30" s="2">
        <f>'Economic Competitiveness'!L593</f>
        <v>920691.621664315</v>
      </c>
      <c r="O30" s="2">
        <f>'Economic Competitiveness'!I646</f>
        <v>0</v>
      </c>
      <c r="P30" s="2">
        <f>'Economic Competitiveness'!J646</f>
        <v>3656174.5347225931</v>
      </c>
      <c r="Q30" s="306">
        <f>-'Economic Competitiveness'!N547</f>
        <v>0</v>
      </c>
      <c r="R30" s="306">
        <f>-'Economic Competitiveness'!N593</f>
        <v>0</v>
      </c>
      <c r="S30" s="306">
        <f>-'Economic Competitiveness'!E832</f>
        <v>-2555000</v>
      </c>
      <c r="T30" s="158">
        <f>'Economic Competitiveness'!F724</f>
        <v>1856410.547730935</v>
      </c>
      <c r="U30" s="158">
        <f>'Economic Competitiveness'!G724</f>
        <v>5092091.3675872516</v>
      </c>
      <c r="V30" s="236">
        <f>-'Economic Competitiveness'!D781</f>
        <v>-1624489.5895402723</v>
      </c>
      <c r="W30" s="158">
        <v>0</v>
      </c>
      <c r="X30" s="540">
        <v>0</v>
      </c>
      <c r="Y30" s="490">
        <f t="shared" si="2"/>
        <v>9124408.002579391</v>
      </c>
      <c r="Z30" s="163">
        <f>'Environmental Protection'!Q118</f>
        <v>226065.1076584378</v>
      </c>
      <c r="AA30" s="158">
        <f>'Environmental Protection'!P64</f>
        <v>1725916.7096999995</v>
      </c>
      <c r="AB30" s="266">
        <f t="shared" si="0"/>
        <v>1951981.8173584375</v>
      </c>
      <c r="AC30" s="371">
        <f>'Environmental Protection'!G170</f>
        <v>142677.43235060707</v>
      </c>
      <c r="AD30" s="158">
        <f>'Environmental Protection'!P170</f>
        <v>66051.10502988685</v>
      </c>
      <c r="AE30" s="266">
        <f t="shared" si="3"/>
        <v>208728.53738049392</v>
      </c>
      <c r="AF30" s="229">
        <f>Safety!E46</f>
        <v>3863951.5485649635</v>
      </c>
      <c r="AG30" s="68"/>
      <c r="AH30" s="68"/>
      <c r="AI30" s="68"/>
      <c r="AJ30" s="68"/>
      <c r="AK30" s="68"/>
    </row>
    <row r="31" spans="1:44" x14ac:dyDescent="0.25">
      <c r="A31">
        <f t="shared" si="4"/>
        <v>28</v>
      </c>
      <c r="B31" s="130">
        <f t="shared" si="4"/>
        <v>2045</v>
      </c>
      <c r="C31" s="66">
        <v>0</v>
      </c>
      <c r="D31" s="383">
        <f t="shared" si="1"/>
        <v>16150334.863872062</v>
      </c>
      <c r="E31" s="94">
        <f>'Economic Competitiveness'!C80</f>
        <v>104864.5206713925</v>
      </c>
      <c r="F31" s="94">
        <f>'Economic Competitiveness'!D80</f>
        <v>4166.0867932316623</v>
      </c>
      <c r="G31" s="2">
        <f>'Economic Competitiveness'!C143</f>
        <v>92322.590613845881</v>
      </c>
      <c r="H31" s="2">
        <f>'Economic Competitiveness'!D143</f>
        <v>156162.47840036359</v>
      </c>
      <c r="I31" s="2">
        <f>'Economic Competitiveness'!C198</f>
        <v>343666.0083606554</v>
      </c>
      <c r="J31" s="2">
        <f>'Economic Competitiveness'!C260</f>
        <v>16068.259278360025</v>
      </c>
      <c r="K31" s="2">
        <f>'Economic Competitiveness'!D260</f>
        <v>1216.0486834192325</v>
      </c>
      <c r="L31" s="71">
        <f>'Economic Competitiveness'!C466</f>
        <v>248025.80250659856</v>
      </c>
      <c r="M31" s="2">
        <f>'Economic Competitiveness'!L548</f>
        <v>836257.19428017619</v>
      </c>
      <c r="N31" s="2">
        <f>'Economic Competitiveness'!L594</f>
        <v>920691.621664315</v>
      </c>
      <c r="O31" s="2">
        <f>'Economic Competitiveness'!I647</f>
        <v>0</v>
      </c>
      <c r="P31" s="2">
        <f>'Economic Competitiveness'!J647</f>
        <v>3750150.1338997711</v>
      </c>
      <c r="Q31" s="306">
        <f>-'Economic Competitiveness'!N548</f>
        <v>0</v>
      </c>
      <c r="R31" s="306">
        <f>-'Economic Competitiveness'!N594</f>
        <v>0</v>
      </c>
      <c r="S31" s="306">
        <f>-'Economic Competitiveness'!E833</f>
        <v>-2555000</v>
      </c>
      <c r="T31" s="158">
        <f>'Economic Competitiveness'!F725</f>
        <v>2030904.8844548275</v>
      </c>
      <c r="U31" s="158">
        <f>'Economic Competitiveness'!G725</f>
        <v>5570725.3135162089</v>
      </c>
      <c r="V31" s="236">
        <f>-'Economic Competitiveness'!D782</f>
        <v>-1777184.387459931</v>
      </c>
      <c r="W31" s="158">
        <v>0</v>
      </c>
      <c r="X31" s="540">
        <v>0</v>
      </c>
      <c r="Y31" s="490">
        <f t="shared" si="2"/>
        <v>9743036.5556632355</v>
      </c>
      <c r="Z31" s="163">
        <f>'Environmental Protection'!Q119</f>
        <v>229525.28787769956</v>
      </c>
      <c r="AA31" s="158">
        <f>'Environmental Protection'!P65</f>
        <v>1725916.7096999995</v>
      </c>
      <c r="AB31" s="266">
        <f t="shared" si="0"/>
        <v>1955441.9975776991</v>
      </c>
      <c r="AC31" s="371">
        <f>'Environmental Protection'!G171</f>
        <v>154261.64785637875</v>
      </c>
      <c r="AD31" s="158">
        <f>'Environmental Protection'!P171</f>
        <v>70448.850190863814</v>
      </c>
      <c r="AE31" s="266">
        <f t="shared" si="3"/>
        <v>224710.49804724258</v>
      </c>
      <c r="AF31" s="229">
        <f>Safety!E47</f>
        <v>4227145.8125838852</v>
      </c>
      <c r="AG31" s="68"/>
      <c r="AH31" s="68"/>
      <c r="AI31" s="68"/>
      <c r="AJ31" s="68"/>
      <c r="AK31" s="68"/>
    </row>
    <row r="32" spans="1:44" x14ac:dyDescent="0.25">
      <c r="A32">
        <f t="shared" si="4"/>
        <v>29</v>
      </c>
      <c r="B32" s="130">
        <f t="shared" si="4"/>
        <v>2046</v>
      </c>
      <c r="C32" s="66">
        <v>0</v>
      </c>
      <c r="D32" s="383">
        <f t="shared" si="1"/>
        <v>17180174.339782417</v>
      </c>
      <c r="E32" s="94">
        <f>'Economic Competitiveness'!C81</f>
        <v>107559.88055340353</v>
      </c>
      <c r="F32" s="94">
        <f>'Economic Competitiveness'!D81</f>
        <v>4273.1687990002347</v>
      </c>
      <c r="G32" s="2">
        <f>'Economic Competitiveness'!C144</f>
        <v>94695.582025532887</v>
      </c>
      <c r="H32" s="2">
        <f>'Economic Competitiveness'!D144</f>
        <v>160176.36295026532</v>
      </c>
      <c r="I32" s="2">
        <f>'Economic Competitiveness'!C199</f>
        <v>352499.34461028053</v>
      </c>
      <c r="J32" s="2">
        <f>'Economic Competitiveness'!C261</f>
        <v>16481.265900193164</v>
      </c>
      <c r="K32" s="2">
        <f>'Economic Competitiveness'!D261</f>
        <v>1247.3050970744441</v>
      </c>
      <c r="L32" s="71">
        <f>'Economic Competitiveness'!C467</f>
        <v>254400.87382242302</v>
      </c>
      <c r="M32" s="2">
        <f>'Economic Competitiveness'!L549</f>
        <v>836257.19428017619</v>
      </c>
      <c r="N32" s="2">
        <f>'Economic Competitiveness'!L595</f>
        <v>920691.621664315</v>
      </c>
      <c r="O32" s="2">
        <f>'Economic Competitiveness'!I648</f>
        <v>0</v>
      </c>
      <c r="P32" s="2">
        <f>'Economic Competitiveness'!J648</f>
        <v>3846541.2121950374</v>
      </c>
      <c r="Q32" s="306">
        <f>-'Economic Competitiveness'!N549</f>
        <v>0</v>
      </c>
      <c r="R32" s="306">
        <f>-'Economic Competitiveness'!N595</f>
        <v>0</v>
      </c>
      <c r="S32" s="306">
        <f>-'Economic Competitiveness'!E834</f>
        <v>-2555000</v>
      </c>
      <c r="T32" s="158">
        <f>'Economic Competitiveness'!F726</f>
        <v>2210125.7359037343</v>
      </c>
      <c r="U32" s="158">
        <f>'Economic Competitiveness'!G726</f>
        <v>6062323.9804544495</v>
      </c>
      <c r="V32" s="236">
        <f>-'Economic Competitiveness'!D783</f>
        <v>-1934015.2176678032</v>
      </c>
      <c r="W32" s="158">
        <v>0</v>
      </c>
      <c r="X32" s="540">
        <v>0</v>
      </c>
      <c r="Y32" s="490">
        <f t="shared" si="2"/>
        <v>10378258.310588084</v>
      </c>
      <c r="Z32" s="163">
        <f>'Environmental Protection'!Q120</f>
        <v>232985.46809696135</v>
      </c>
      <c r="AA32" s="158">
        <f>'Environmental Protection'!P66</f>
        <v>1725916.7096999995</v>
      </c>
      <c r="AB32" s="266">
        <f t="shared" si="0"/>
        <v>1958902.1777969608</v>
      </c>
      <c r="AC32" s="371">
        <f>'Environmental Protection'!G172</f>
        <v>168091.40268336699</v>
      </c>
      <c r="AD32" s="158">
        <f>'Environmental Protection'!P172</f>
        <v>74744.556918132643</v>
      </c>
      <c r="AE32" s="266">
        <f t="shared" si="3"/>
        <v>242835.95960149964</v>
      </c>
      <c r="AF32" s="229">
        <f>Safety!E48</f>
        <v>4600177.8917958727</v>
      </c>
      <c r="AG32" s="68"/>
      <c r="AH32" s="68"/>
      <c r="AI32" s="68"/>
      <c r="AJ32" s="68"/>
      <c r="AK32" s="68"/>
    </row>
    <row r="33" spans="1:45" x14ac:dyDescent="0.25">
      <c r="A33">
        <f t="shared" si="4"/>
        <v>30</v>
      </c>
      <c r="B33" s="130">
        <f t="shared" si="4"/>
        <v>2047</v>
      </c>
      <c r="C33" s="66">
        <v>0</v>
      </c>
      <c r="D33" s="383">
        <f t="shared" si="1"/>
        <v>18367769.518879563</v>
      </c>
      <c r="E33" s="94">
        <f>'Economic Competitiveness'!C82</f>
        <v>110324.51996720511</v>
      </c>
      <c r="F33" s="94">
        <f>'Economic Competitiveness'!D82</f>
        <v>4383.003161243485</v>
      </c>
      <c r="G33" s="2">
        <f>'Economic Competitiveness'!C145</f>
        <v>97129.567048886325</v>
      </c>
      <c r="H33" s="2">
        <f>'Economic Competitiveness'!D145</f>
        <v>164293.41741233144</v>
      </c>
      <c r="I33" s="2">
        <f>'Economic Competitiveness'!C200</f>
        <v>361559.72638492327</v>
      </c>
      <c r="J33" s="2">
        <f>'Economic Competitiveness'!C262</f>
        <v>16904.888137988371</v>
      </c>
      <c r="K33" s="2">
        <f>'Economic Competitiveness'!D262</f>
        <v>1279.3649024095339</v>
      </c>
      <c r="L33" s="71">
        <f>'Economic Competitiveness'!C468</f>
        <v>260939.80524421678</v>
      </c>
      <c r="M33" s="2">
        <f>'Economic Competitiveness'!L550</f>
        <v>836257.19428017619</v>
      </c>
      <c r="N33" s="2">
        <f>'Economic Competitiveness'!L596</f>
        <v>920691.621664315</v>
      </c>
      <c r="O33" s="2">
        <f>'Economic Competitiveness'!I649</f>
        <v>0</v>
      </c>
      <c r="P33" s="2">
        <f>'Economic Competitiveness'!J649</f>
        <v>3945409.8552925587</v>
      </c>
      <c r="Q33" s="306">
        <f>-'Economic Competitiveness'!N550</f>
        <v>0</v>
      </c>
      <c r="R33" s="306">
        <f>-'Economic Competitiveness'!N596</f>
        <v>0</v>
      </c>
      <c r="S33" s="306">
        <f>-'Economic Competitiveness'!E835</f>
        <v>-2555000</v>
      </c>
      <c r="T33" s="158">
        <f>'Economic Competitiveness'!F727</f>
        <v>2420567.6022886736</v>
      </c>
      <c r="U33" s="158">
        <f>'Economic Competitiveness'!G727</f>
        <v>6639561.1721454198</v>
      </c>
      <c r="V33" s="236">
        <f>-'Economic Competitiveness'!D784</f>
        <v>-2118166.6283369628</v>
      </c>
      <c r="W33" s="158">
        <v>0</v>
      </c>
      <c r="X33" s="540">
        <v>0</v>
      </c>
      <c r="Y33" s="490">
        <f t="shared" si="2"/>
        <v>11106135.109593386</v>
      </c>
      <c r="Z33" s="163">
        <f>'Environmental Protection'!Q121</f>
        <v>235868.95161301288</v>
      </c>
      <c r="AA33" s="158">
        <f>'Environmental Protection'!P67</f>
        <v>1725916.7096999995</v>
      </c>
      <c r="AB33" s="266">
        <f t="shared" si="0"/>
        <v>1961785.6613130125</v>
      </c>
      <c r="AC33" s="371">
        <f>'Environmental Protection'!G173</f>
        <v>181844.9033766748</v>
      </c>
      <c r="AD33" s="158">
        <f>'Environmental Protection'!P173</f>
        <v>79810.139706434566</v>
      </c>
      <c r="AE33" s="266">
        <f t="shared" si="3"/>
        <v>261655.04308310937</v>
      </c>
      <c r="AF33" s="229">
        <f>Safety!E49</f>
        <v>5038193.7048900574</v>
      </c>
      <c r="AG33" s="68"/>
      <c r="AH33" s="68"/>
      <c r="AI33" s="68"/>
      <c r="AJ33" s="68"/>
      <c r="AK33" s="68"/>
    </row>
    <row r="34" spans="1:45" x14ac:dyDescent="0.25">
      <c r="A34">
        <f t="shared" si="4"/>
        <v>31</v>
      </c>
      <c r="B34" s="130">
        <f t="shared" si="4"/>
        <v>2048</v>
      </c>
      <c r="C34" s="66">
        <v>0</v>
      </c>
      <c r="D34" s="383">
        <f t="shared" si="1"/>
        <v>19439443.140645999</v>
      </c>
      <c r="E34" s="94">
        <f>'Economic Competitiveness'!C83</f>
        <v>113160.21962251142</v>
      </c>
      <c r="F34" s="94">
        <f>'Economic Competitiveness'!D83</f>
        <v>4495.6606244913582</v>
      </c>
      <c r="G34" s="2">
        <f>'Economic Competitiveness'!C146</f>
        <v>99626.113418473542</v>
      </c>
      <c r="H34" s="2">
        <f>'Economic Competitiveness'!D146</f>
        <v>168516.29358948348</v>
      </c>
      <c r="I34" s="2">
        <f>'Economic Competitiveness'!C201</f>
        <v>370852.98949440377</v>
      </c>
      <c r="J34" s="2">
        <f>'Economic Competitiveness'!C263</f>
        <v>17339.398847666827</v>
      </c>
      <c r="K34" s="2">
        <f>'Economic Competitiveness'!D263</f>
        <v>1312.248749208524</v>
      </c>
      <c r="L34" s="71">
        <f>'Economic Competitiveness'!C469</f>
        <v>267646.80851064093</v>
      </c>
      <c r="M34" s="2">
        <f>'Economic Competitiveness'!L551</f>
        <v>836257.19428017619</v>
      </c>
      <c r="N34" s="2">
        <f>'Economic Competitiveness'!L597</f>
        <v>920691.621664315</v>
      </c>
      <c r="O34" s="2">
        <f>'Economic Competitiveness'!I650</f>
        <v>0</v>
      </c>
      <c r="P34" s="2">
        <f>'Economic Competitiveness'!J650</f>
        <v>4046819.7446808917</v>
      </c>
      <c r="Q34" s="306">
        <f>-'Economic Competitiveness'!N551</f>
        <v>0</v>
      </c>
      <c r="R34" s="306">
        <f>R20</f>
        <v>-150000</v>
      </c>
      <c r="S34" s="306">
        <f>-'Economic Competitiveness'!E836</f>
        <v>-2555000</v>
      </c>
      <c r="T34" s="158">
        <f>'Economic Competitiveness'!F728</f>
        <v>2637141.3924551699</v>
      </c>
      <c r="U34" s="158">
        <f>'Economic Competitiveness'!G728</f>
        <v>7233618.0895123361</v>
      </c>
      <c r="V34" s="236">
        <f>-'Economic Competitiveness'!D785</f>
        <v>-2307683.9029090013</v>
      </c>
      <c r="W34" s="158">
        <v>0</v>
      </c>
      <c r="X34" s="540">
        <v>0</v>
      </c>
      <c r="Y34" s="490">
        <f t="shared" si="2"/>
        <v>11704793.872540766</v>
      </c>
      <c r="Z34" s="163">
        <f>'Environmental Protection'!Q122</f>
        <v>239329.1318322747</v>
      </c>
      <c r="AA34" s="158">
        <f>'Environmental Protection'!P68</f>
        <v>1725916.7096999995</v>
      </c>
      <c r="AB34" s="266">
        <f t="shared" si="0"/>
        <v>1965245.8415322741</v>
      </c>
      <c r="AC34" s="371">
        <f>'Environmental Protection'!G174</f>
        <v>195658.84026594221</v>
      </c>
      <c r="AD34" s="158">
        <f>'Environmental Protection'!P174</f>
        <v>84772.020612023451</v>
      </c>
      <c r="AE34" s="266">
        <f t="shared" si="3"/>
        <v>280430.86087796569</v>
      </c>
      <c r="AF34" s="229">
        <f>Safety!E50</f>
        <v>5488972.5656949924</v>
      </c>
      <c r="AG34" s="68"/>
      <c r="AH34" s="68"/>
      <c r="AI34" s="68"/>
      <c r="AJ34" s="68"/>
      <c r="AK34" s="68"/>
    </row>
    <row r="35" spans="1:45" x14ac:dyDescent="0.25">
      <c r="A35">
        <f t="shared" si="4"/>
        <v>32</v>
      </c>
      <c r="B35" s="130">
        <f t="shared" si="4"/>
        <v>2049</v>
      </c>
      <c r="C35" s="66">
        <v>0</v>
      </c>
      <c r="D35" s="383">
        <f t="shared" si="1"/>
        <v>20595021.47118973</v>
      </c>
      <c r="E35" s="94">
        <f>'Economic Competitiveness'!C84</f>
        <v>116068.80599907874</v>
      </c>
      <c r="F35" s="94">
        <f>'Economic Competitiveness'!D84</f>
        <v>4611.2137516387402</v>
      </c>
      <c r="G35" s="2">
        <f>'Economic Competitiveness'!C147</f>
        <v>102186.82916474872</v>
      </c>
      <c r="H35" s="2">
        <f>'Economic Competitiveness'!D147</f>
        <v>172847.71144461891</v>
      </c>
      <c r="I35" s="2">
        <f>'Economic Competitiveness'!C202</f>
        <v>380385.11974787054</v>
      </c>
      <c r="J35" s="2">
        <f>'Economic Competitiveness'!C264</f>
        <v>17785.077898435989</v>
      </c>
      <c r="K35" s="2">
        <f>'Economic Competitiveness'!D264</f>
        <v>1345.977818022174</v>
      </c>
      <c r="L35" s="71">
        <f>'Economic Competitiveness'!C470</f>
        <v>274526.20361576416</v>
      </c>
      <c r="M35" s="2">
        <f>'Economic Competitiveness'!L552</f>
        <v>836257.19428017619</v>
      </c>
      <c r="N35" s="2">
        <f>'Economic Competitiveness'!L598</f>
        <v>920691.621664315</v>
      </c>
      <c r="O35" s="2">
        <f>'Economic Competitiveness'!I651</f>
        <v>0</v>
      </c>
      <c r="P35" s="2">
        <f>'Economic Competitiveness'!J651</f>
        <v>4150836.1986703551</v>
      </c>
      <c r="Q35" s="306">
        <f>-'Economic Competitiveness'!N552</f>
        <v>0</v>
      </c>
      <c r="R35" s="306">
        <f t="shared" ref="R35:R43" si="6">R21</f>
        <v>-250000</v>
      </c>
      <c r="S35" s="306">
        <f>-'Economic Competitiveness'!E837</f>
        <v>-2555000</v>
      </c>
      <c r="T35" s="158">
        <f>'Economic Competitiveness'!F729</f>
        <v>2859914.3359683021</v>
      </c>
      <c r="U35" s="158">
        <f>'Economic Competitiveness'!G729</f>
        <v>7844679.1417034902</v>
      </c>
      <c r="V35" s="236">
        <f>-'Economic Competitiveness'!D786</f>
        <v>-2502625.8719743369</v>
      </c>
      <c r="W35" s="158">
        <v>0</v>
      </c>
      <c r="X35" s="540">
        <v>0</v>
      </c>
      <c r="Y35" s="490">
        <f t="shared" si="2"/>
        <v>12374509.559752479</v>
      </c>
      <c r="Z35" s="163">
        <f>'Environmental Protection'!Q123</f>
        <v>242789.31205153649</v>
      </c>
      <c r="AA35" s="158">
        <f>'Environmental Protection'!P69</f>
        <v>1725916.7096999995</v>
      </c>
      <c r="AB35" s="266">
        <f t="shared" si="0"/>
        <v>1968706.0217515361</v>
      </c>
      <c r="AC35" s="371">
        <f>'Environmental Protection'!G175</f>
        <v>209522.09970076894</v>
      </c>
      <c r="AD35" s="158">
        <f>'Environmental Protection'!P175</f>
        <v>89629.383482666584</v>
      </c>
      <c r="AE35" s="266">
        <f t="shared" si="3"/>
        <v>299151.48318343551</v>
      </c>
      <c r="AF35" s="229">
        <f>Safety!E51</f>
        <v>5952654.4065022785</v>
      </c>
      <c r="AG35" s="68"/>
      <c r="AH35" s="68"/>
      <c r="AI35" s="68"/>
      <c r="AJ35" s="68"/>
      <c r="AK35" s="68"/>
    </row>
    <row r="36" spans="1:45" x14ac:dyDescent="0.25">
      <c r="A36">
        <f t="shared" si="4"/>
        <v>33</v>
      </c>
      <c r="B36" s="130">
        <f t="shared" si="4"/>
        <v>2050</v>
      </c>
      <c r="C36" s="66">
        <v>0</v>
      </c>
      <c r="D36" s="383">
        <f t="shared" si="1"/>
        <v>21884314.566137746</v>
      </c>
      <c r="E36" s="94">
        <f>'Economic Competitiveness'!C85</f>
        <v>119052.15252314467</v>
      </c>
      <c r="F36" s="94">
        <f>'Economic Competitiveness'!D85</f>
        <v>4729.7369706833615</v>
      </c>
      <c r="G36" s="2">
        <f>'Economic Competitiveness'!C148</f>
        <v>104813.36364978849</v>
      </c>
      <c r="H36" s="2">
        <f>'Economic Competitiveness'!D148</f>
        <v>177290.46085254464</v>
      </c>
      <c r="I36" s="2">
        <f>'Economic Competitiveness'!C203</f>
        <v>390162.25680927199</v>
      </c>
      <c r="J36" s="2">
        <f>'Economic Competitiveness'!C265</f>
        <v>18242.212353053899</v>
      </c>
      <c r="K36" s="2">
        <f>'Economic Competitiveness'!D265</f>
        <v>1380.573833810414</v>
      </c>
      <c r="L36" s="71">
        <f>'Economic Competitiveness'!C471</f>
        <v>281582.42159157933</v>
      </c>
      <c r="M36" s="2">
        <f>'Economic Competitiveness'!L553</f>
        <v>836257.19428017619</v>
      </c>
      <c r="N36" s="2">
        <f>'Economic Competitiveness'!L599</f>
        <v>920691.621664315</v>
      </c>
      <c r="O36" s="2">
        <f>'Economic Competitiveness'!I652</f>
        <v>0</v>
      </c>
      <c r="P36" s="2">
        <f>'Economic Competitiveness'!J652</f>
        <v>4257526.2144646812</v>
      </c>
      <c r="Q36" s="306">
        <f>-'Economic Competitiveness'!N553</f>
        <v>0</v>
      </c>
      <c r="R36" s="306">
        <f t="shared" si="6"/>
        <v>-250000</v>
      </c>
      <c r="S36" s="306">
        <f>-'Economic Competitiveness'!E838</f>
        <v>-2555000</v>
      </c>
      <c r="T36" s="158">
        <f>'Economic Competitiveness'!F730</f>
        <v>3088949.9721812578</v>
      </c>
      <c r="U36" s="158">
        <f>'Economic Competitiveness'!G730</f>
        <v>8472918.6157009657</v>
      </c>
      <c r="V36" s="236">
        <f>-'Economic Competitiveness'!D787</f>
        <v>-2703048.1369288485</v>
      </c>
      <c r="W36" s="158">
        <v>0</v>
      </c>
      <c r="X36" s="540">
        <v>0</v>
      </c>
      <c r="Y36" s="490">
        <f t="shared" si="2"/>
        <v>13165548.659946423</v>
      </c>
      <c r="Z36" s="163">
        <f>'Environmental Protection'!Q124</f>
        <v>245672.79556758801</v>
      </c>
      <c r="AA36" s="158">
        <f>'Environmental Protection'!P70</f>
        <v>1725916.7096999995</v>
      </c>
      <c r="AB36" s="266">
        <f t="shared" si="0"/>
        <v>1971589.5052675875</v>
      </c>
      <c r="AC36" s="371">
        <f>'Environmental Protection'!G176</f>
        <v>223423.49854402686</v>
      </c>
      <c r="AD36" s="158">
        <f>'Environmental Protection'!P176</f>
        <v>94381.423620266884</v>
      </c>
      <c r="AE36" s="266">
        <f t="shared" si="3"/>
        <v>317804.92216429376</v>
      </c>
      <c r="AF36" s="229">
        <f>Safety!E52</f>
        <v>6429371.4787594434</v>
      </c>
      <c r="AG36" s="68"/>
      <c r="AH36" s="68"/>
      <c r="AI36" s="68"/>
      <c r="AJ36" s="68"/>
      <c r="AK36" s="68"/>
    </row>
    <row r="37" spans="1:45" x14ac:dyDescent="0.25">
      <c r="A37">
        <f t="shared" si="4"/>
        <v>34</v>
      </c>
      <c r="B37" s="130">
        <f t="shared" si="4"/>
        <v>2051</v>
      </c>
      <c r="C37" s="66">
        <v>0</v>
      </c>
      <c r="D37" s="383">
        <f t="shared" si="1"/>
        <v>23359770.294821907</v>
      </c>
      <c r="E37" s="94">
        <f>'Economic Competitiveness'!C86</f>
        <v>122112.18077410565</v>
      </c>
      <c r="F37" s="94">
        <f>'Economic Competitiveness'!D86</f>
        <v>4851.3066226650171</v>
      </c>
      <c r="G37" s="2">
        <f>'Economic Competitiveness'!C149</f>
        <v>107507.40862964928</v>
      </c>
      <c r="H37" s="2">
        <f>'Economic Competitiveness'!D149</f>
        <v>181847.40339694096</v>
      </c>
      <c r="I37" s="2">
        <f>'Economic Competitiveness'!C204</f>
        <v>400190.6981519261</v>
      </c>
      <c r="J37" s="2">
        <f>'Economic Competitiveness'!C266</f>
        <v>18711.096652726868</v>
      </c>
      <c r="K37" s="2">
        <f>'Economic Competitiveness'!D266</f>
        <v>1416.0590799354354</v>
      </c>
      <c r="L37" s="71">
        <f>'Economic Competitiveness'!C472</f>
        <v>288820.00736204011</v>
      </c>
      <c r="M37" s="2">
        <f>'Economic Competitiveness'!L554</f>
        <v>836257.19428017619</v>
      </c>
      <c r="N37" s="2">
        <f>'Economic Competitiveness'!L600</f>
        <v>920691.621664315</v>
      </c>
      <c r="O37" s="2">
        <f>'Economic Competitiveness'!I653</f>
        <v>0</v>
      </c>
      <c r="P37" s="2">
        <f>'Economic Competitiveness'!J653</f>
        <v>4366958.5113140484</v>
      </c>
      <c r="Q37" s="306">
        <f>-'Economic Competitiveness'!N554</f>
        <v>0</v>
      </c>
      <c r="R37" s="306">
        <f t="shared" si="6"/>
        <v>-250000</v>
      </c>
      <c r="S37" s="306">
        <f>-'Economic Competitiveness'!E839</f>
        <v>-2555000</v>
      </c>
      <c r="T37" s="158">
        <f>'Economic Competitiveness'!F731</f>
        <v>3353605.7684082757</v>
      </c>
      <c r="U37" s="158">
        <f>'Economic Competitiveness'!G731</f>
        <v>9198863.3680601586</v>
      </c>
      <c r="V37" s="236">
        <f>-'Economic Competitiveness'!D788</f>
        <v>-2934640.5432033022</v>
      </c>
      <c r="W37" s="158">
        <v>0</v>
      </c>
      <c r="X37" s="540">
        <v>0</v>
      </c>
      <c r="Y37" s="490">
        <f t="shared" si="2"/>
        <v>14062192.081193663</v>
      </c>
      <c r="Z37" s="163">
        <f>'Environmental Protection'!Q125</f>
        <v>249132.9757868498</v>
      </c>
      <c r="AA37" s="158">
        <f>'Environmental Protection'!P71</f>
        <v>1725916.7096999995</v>
      </c>
      <c r="AB37" s="266">
        <f t="shared" si="0"/>
        <v>1975049.6854868494</v>
      </c>
      <c r="AC37" s="371">
        <f>'Environmental Protection'!G177</f>
        <v>242399.71874802693</v>
      </c>
      <c r="AD37" s="158">
        <f>'Environmental Protection'!P177</f>
        <v>99900.099770840898</v>
      </c>
      <c r="AE37" s="266">
        <f t="shared" si="3"/>
        <v>342299.81851886783</v>
      </c>
      <c r="AF37" s="229">
        <f>Safety!E53</f>
        <v>6980228.7096225256</v>
      </c>
      <c r="AG37" s="68"/>
      <c r="AH37" s="68"/>
      <c r="AI37" s="68"/>
      <c r="AJ37" s="68"/>
      <c r="AK37" s="68"/>
    </row>
    <row r="38" spans="1:45" x14ac:dyDescent="0.25">
      <c r="A38">
        <f t="shared" si="4"/>
        <v>35</v>
      </c>
      <c r="B38" s="130">
        <f t="shared" si="4"/>
        <v>2052</v>
      </c>
      <c r="C38" s="66">
        <v>0</v>
      </c>
      <c r="D38" s="383">
        <f t="shared" si="1"/>
        <v>24874946.810592718</v>
      </c>
      <c r="E38" s="94">
        <f>'Economic Competitiveness'!C87</f>
        <v>125250.86172221009</v>
      </c>
      <c r="F38" s="94">
        <f>'Economic Competitiveness'!D87</f>
        <v>4976.0010108369825</v>
      </c>
      <c r="G38" s="2">
        <f>'Economic Competitiveness'!C150</f>
        <v>110270.69934403076</v>
      </c>
      <c r="H38" s="2">
        <f>'Economic Competitiveness'!D150</f>
        <v>186521.4742135132</v>
      </c>
      <c r="I38" s="2">
        <f>'Economic Competitiveness'!C205</f>
        <v>410476.90311473532</v>
      </c>
      <c r="J38" s="2">
        <f>'Economic Competitiveness'!C267</f>
        <v>19192.032806759653</v>
      </c>
      <c r="K38" s="2">
        <f>'Economic Competitiveness'!D267</f>
        <v>1452.4564125144482</v>
      </c>
      <c r="L38" s="71">
        <f>'Economic Competitiveness'!C473</f>
        <v>296243.62267045531</v>
      </c>
      <c r="M38" s="2">
        <f>'Economic Competitiveness'!L555</f>
        <v>836257.19428017619</v>
      </c>
      <c r="N38" s="2">
        <f>'Economic Competitiveness'!L601</f>
        <v>920691.621664315</v>
      </c>
      <c r="O38" s="2">
        <f>'Economic Competitiveness'!I654</f>
        <v>0</v>
      </c>
      <c r="P38" s="2">
        <f>'Economic Competitiveness'!J654</f>
        <v>4479203.5747772856</v>
      </c>
      <c r="Q38" s="306">
        <f>-'Economic Competitiveness'!N555</f>
        <v>0</v>
      </c>
      <c r="R38" s="306">
        <f t="shared" si="6"/>
        <v>-250000</v>
      </c>
      <c r="S38" s="306">
        <f>-'Economic Competitiveness'!E840</f>
        <v>-2555000</v>
      </c>
      <c r="T38" s="158">
        <f>'Economic Competitiveness'!F732</f>
        <v>3626145.2251086812</v>
      </c>
      <c r="U38" s="158">
        <f>'Economic Competitiveness'!G732</f>
        <v>9946432.8194874506</v>
      </c>
      <c r="V38" s="236">
        <f>-'Economic Competitiveness'!D789</f>
        <v>-3173131.7059958866</v>
      </c>
      <c r="W38" s="158">
        <v>0</v>
      </c>
      <c r="X38" s="540">
        <v>0</v>
      </c>
      <c r="Y38" s="490">
        <f t="shared" si="2"/>
        <v>14984982.780617077</v>
      </c>
      <c r="Z38" s="163">
        <f>'Environmental Protection'!Q126</f>
        <v>252593.15600611159</v>
      </c>
      <c r="AA38" s="158">
        <f>'Environmental Protection'!P72</f>
        <v>1725916.7096999995</v>
      </c>
      <c r="AB38" s="266">
        <f t="shared" si="0"/>
        <v>1978509.8657061111</v>
      </c>
      <c r="AC38" s="371">
        <f>'Environmental Protection'!G178</f>
        <v>258647.21219014001</v>
      </c>
      <c r="AD38" s="158">
        <f>'Environmental Protection'!P178</f>
        <v>105311.8815488468</v>
      </c>
      <c r="AE38" s="266">
        <f t="shared" si="3"/>
        <v>363959.09373898682</v>
      </c>
      <c r="AF38" s="229">
        <f>Safety!E54</f>
        <v>7547495.0705305422</v>
      </c>
      <c r="AG38" s="68"/>
      <c r="AH38" s="68"/>
      <c r="AI38" s="68"/>
      <c r="AJ38" s="68"/>
      <c r="AK38" s="68"/>
    </row>
    <row r="39" spans="1:45" x14ac:dyDescent="0.25">
      <c r="A39">
        <f t="shared" si="4"/>
        <v>36</v>
      </c>
      <c r="B39" s="130">
        <f t="shared" si="4"/>
        <v>2053</v>
      </c>
      <c r="C39" s="66">
        <v>0</v>
      </c>
      <c r="D39" s="383">
        <f t="shared" si="1"/>
        <v>26433254.149603941</v>
      </c>
      <c r="E39" s="94">
        <f>'Economic Competitiveness'!C88</f>
        <v>128470.21699806416</v>
      </c>
      <c r="F39" s="94">
        <f>'Economic Competitiveness'!D88</f>
        <v>5103.9004511012936</v>
      </c>
      <c r="G39" s="2">
        <f>'Economic Competitiveness'!C151</f>
        <v>113105.01563394713</v>
      </c>
      <c r="H39" s="2">
        <f>'Economic Competitiveness'!D151</f>
        <v>191315.68388051842</v>
      </c>
      <c r="I39" s="2">
        <f>'Economic Competitiveness'!C206</f>
        <v>421027.49706265971</v>
      </c>
      <c r="J39" s="2">
        <f>'Economic Competitiveness'!C268</f>
        <v>19685.330587080232</v>
      </c>
      <c r="K39" s="2">
        <f>'Economic Competitiveness'!D268</f>
        <v>1489.789275141351</v>
      </c>
      <c r="L39" s="71">
        <f>'Economic Competitiveness'!C474</f>
        <v>303858.04908212717</v>
      </c>
      <c r="M39" s="2">
        <f>'Economic Competitiveness'!L556</f>
        <v>836257.19428017619</v>
      </c>
      <c r="N39" s="2">
        <f>'Economic Competitiveness'!L602</f>
        <v>920691.621664315</v>
      </c>
      <c r="O39" s="2">
        <f>'Economic Competitiveness'!I655</f>
        <v>0</v>
      </c>
      <c r="P39" s="2">
        <f>'Economic Competitiveness'!J655</f>
        <v>4594333.7021217644</v>
      </c>
      <c r="Q39" s="306">
        <f>-'Economic Competitiveness'!N556</f>
        <v>0</v>
      </c>
      <c r="R39" s="306">
        <f t="shared" si="6"/>
        <v>-250000</v>
      </c>
      <c r="S39" s="306">
        <f>-'Economic Competitiveness'!E841</f>
        <v>-2555000</v>
      </c>
      <c r="T39" s="158">
        <f>'Economic Competitiveness'!F733</f>
        <v>3906677.1388925477</v>
      </c>
      <c r="U39" s="158">
        <f>'Economic Competitiveness'!G733</f>
        <v>10715925.396578003</v>
      </c>
      <c r="V39" s="236">
        <f>-'Economic Competitiveness'!D790</f>
        <v>-3418616.8299802989</v>
      </c>
      <c r="W39" s="158">
        <v>0</v>
      </c>
      <c r="X39" s="540">
        <v>0</v>
      </c>
      <c r="Y39" s="490">
        <f t="shared" si="2"/>
        <v>15934323.706527147</v>
      </c>
      <c r="Z39" s="163">
        <f>'Environmental Protection'!Q127</f>
        <v>256053.33622537338</v>
      </c>
      <c r="AA39" s="158">
        <f>'Environmental Protection'!P73</f>
        <v>1725916.7096999995</v>
      </c>
      <c r="AB39" s="266">
        <f t="shared" si="0"/>
        <v>1981970.045925373</v>
      </c>
      <c r="AC39" s="371">
        <f>'Environmental Protection'!G179</f>
        <v>274947.3815250668</v>
      </c>
      <c r="AD39" s="158">
        <f>'Environmental Protection'!P179</f>
        <v>110616.0037865612</v>
      </c>
      <c r="AE39" s="266">
        <f t="shared" si="3"/>
        <v>385563.38531162799</v>
      </c>
      <c r="AF39" s="229">
        <f>Safety!E55</f>
        <v>8131397.0118397931</v>
      </c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1:45" x14ac:dyDescent="0.25">
      <c r="A40">
        <f t="shared" si="4"/>
        <v>37</v>
      </c>
      <c r="B40" s="130">
        <f t="shared" si="4"/>
        <v>2054</v>
      </c>
      <c r="C40" s="66">
        <v>0</v>
      </c>
      <c r="D40" s="383">
        <f t="shared" si="1"/>
        <v>27944264.452633087</v>
      </c>
      <c r="E40" s="94">
        <f>'Economic Competitiveness'!C89</f>
        <v>131772.32019476814</v>
      </c>
      <c r="F40" s="94">
        <f>'Economic Competitiveness'!D89</f>
        <v>5235.0873237403766</v>
      </c>
      <c r="G40" s="2">
        <f>'Economic Competitiveness'!C152</f>
        <v>116012.1830881263</v>
      </c>
      <c r="H40" s="2">
        <f>'Economic Competitiveness'!D152</f>
        <v>196233.12035788488</v>
      </c>
      <c r="I40" s="2">
        <f>'Economic Competitiveness'!C207</f>
        <v>431849.27565412753</v>
      </c>
      <c r="J40" s="2">
        <f>'Economic Competitiveness'!C269</f>
        <v>20191.307727764532</v>
      </c>
      <c r="K40" s="2">
        <f>'Economic Competitiveness'!D269</f>
        <v>1528.0817139867968</v>
      </c>
      <c r="L40" s="71">
        <f>'Economic Competitiveness'!C475</f>
        <v>311668.19106416678</v>
      </c>
      <c r="M40" s="2">
        <f>'Economic Competitiveness'!L557</f>
        <v>836257.19428017619</v>
      </c>
      <c r="N40" s="2">
        <f>'Economic Competitiveness'!L603</f>
        <v>920691.621664315</v>
      </c>
      <c r="O40" s="2">
        <f>'Economic Competitiveness'!I656</f>
        <v>0</v>
      </c>
      <c r="P40" s="2">
        <f>'Economic Competitiveness'!J656</f>
        <v>4712423.0488902032</v>
      </c>
      <c r="Q40" s="306">
        <f>-'Economic Competitiveness'!N557</f>
        <v>0</v>
      </c>
      <c r="R40" s="306">
        <f t="shared" si="6"/>
        <v>-500000</v>
      </c>
      <c r="S40" s="306">
        <f>-'Economic Competitiveness'!E842</f>
        <v>-2555000</v>
      </c>
      <c r="T40" s="158">
        <f>'Economic Competitiveness'!F734</f>
        <v>4226923.0347904013</v>
      </c>
      <c r="U40" s="158">
        <f>'Economic Competitiveness'!G734</f>
        <v>11594352.511743834</v>
      </c>
      <c r="V40" s="236">
        <f>-'Economic Competitiveness'!D791</f>
        <v>-3698854.4770971718</v>
      </c>
      <c r="W40" s="158">
        <v>0</v>
      </c>
      <c r="X40" s="540">
        <v>0</v>
      </c>
      <c r="Y40" s="490">
        <f t="shared" si="2"/>
        <v>16751282.501396324</v>
      </c>
      <c r="Z40" s="163">
        <f>'Environmental Protection'!Q128</f>
        <v>258936.8197414249</v>
      </c>
      <c r="AA40" s="158">
        <f>'Environmental Protection'!P74</f>
        <v>1725916.7096999995</v>
      </c>
      <c r="AB40" s="266">
        <f t="shared" si="0"/>
        <v>1984853.5294414244</v>
      </c>
      <c r="AC40" s="371">
        <f>'Environmental Protection'!G180</f>
        <v>293483.92015948141</v>
      </c>
      <c r="AD40" s="158">
        <f>'Environmental Protection'!P180</f>
        <v>116684.46746861457</v>
      </c>
      <c r="AE40" s="266">
        <f t="shared" si="3"/>
        <v>410168.38762809598</v>
      </c>
      <c r="AF40" s="229">
        <f>Safety!E56</f>
        <v>8797960.0341672413</v>
      </c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1:45" x14ac:dyDescent="0.25">
      <c r="A41">
        <f t="shared" si="4"/>
        <v>38</v>
      </c>
      <c r="B41" s="130">
        <f t="shared" si="4"/>
        <v>2055</v>
      </c>
      <c r="C41" s="66">
        <v>0</v>
      </c>
      <c r="D41" s="383">
        <f t="shared" si="1"/>
        <v>29754814.83216228</v>
      </c>
      <c r="E41" s="94">
        <f>'Economic Competitiveness'!C90</f>
        <v>135159.2982035217</v>
      </c>
      <c r="F41" s="94">
        <f>'Economic Competitiveness'!D90</f>
        <v>5369.6461264783529</v>
      </c>
      <c r="G41" s="2">
        <f>'Economic Competitiveness'!C153</f>
        <v>118994.07421887515</v>
      </c>
      <c r="H41" s="2">
        <f>'Economic Competitiveness'!D153</f>
        <v>201276.95097617307</v>
      </c>
      <c r="I41" s="2">
        <f>'Economic Competitiveness'!C208</f>
        <v>442949.20921813225</v>
      </c>
      <c r="J41" s="2">
        <f>'Economic Competitiveness'!C270</f>
        <v>20710.290129689558</v>
      </c>
      <c r="K41" s="2">
        <f>'Economic Competitiveness'!D270</f>
        <v>1567.3583932863787</v>
      </c>
      <c r="L41" s="71">
        <f>'Economic Competitiveness'!C476</f>
        <v>319679.07914447127</v>
      </c>
      <c r="M41" s="2">
        <f>'Economic Competitiveness'!L558</f>
        <v>836257.19428017619</v>
      </c>
      <c r="N41" s="2">
        <f>'Economic Competitiveness'!L604</f>
        <v>920691.621664315</v>
      </c>
      <c r="O41" s="2">
        <f>'Economic Competitiveness'!I657</f>
        <v>0</v>
      </c>
      <c r="P41" s="2">
        <f>'Economic Competitiveness'!J657</f>
        <v>4833547.6766644074</v>
      </c>
      <c r="Q41" s="306">
        <f>-'Economic Competitiveness'!N558</f>
        <v>0</v>
      </c>
      <c r="R41" s="306">
        <f t="shared" si="6"/>
        <v>-500000</v>
      </c>
      <c r="S41" s="306">
        <f>-'Economic Competitiveness'!E843</f>
        <v>-2555000</v>
      </c>
      <c r="T41" s="158">
        <f>'Economic Competitiveness'!F735</f>
        <v>4556995.2925316012</v>
      </c>
      <c r="U41" s="158">
        <f>'Economic Competitiveness'!G735</f>
        <v>12499733.1110829</v>
      </c>
      <c r="V41" s="236">
        <f>-'Economic Competitiveness'!D792</f>
        <v>-3987690.8808506518</v>
      </c>
      <c r="W41" s="158">
        <v>0</v>
      </c>
      <c r="X41" s="540">
        <v>0</v>
      </c>
      <c r="Y41" s="490">
        <f t="shared" si="2"/>
        <v>17850239.921783376</v>
      </c>
      <c r="Z41" s="163">
        <f>'Environmental Protection'!Q129</f>
        <v>258936.8197414249</v>
      </c>
      <c r="AA41" s="158">
        <f>'Environmental Protection'!P75</f>
        <v>1725916.7096999995</v>
      </c>
      <c r="AB41" s="266">
        <f t="shared" si="0"/>
        <v>1984853.5294414244</v>
      </c>
      <c r="AC41" s="371">
        <f>'Environmental Protection'!G181</f>
        <v>312101.84901309031</v>
      </c>
      <c r="AD41" s="158">
        <f>'Environmental Protection'!P181</f>
        <v>122643.78725263306</v>
      </c>
      <c r="AE41" s="266">
        <f t="shared" si="3"/>
        <v>434745.63626572338</v>
      </c>
      <c r="AF41" s="229">
        <f>Safety!E57</f>
        <v>9484975.7446717545</v>
      </c>
      <c r="AG41" s="68"/>
      <c r="AH41" s="68"/>
      <c r="AI41" s="68"/>
      <c r="AJ41" s="68"/>
      <c r="AK41" s="68"/>
    </row>
    <row r="42" spans="1:45" x14ac:dyDescent="0.25">
      <c r="A42" s="6">
        <f t="shared" si="4"/>
        <v>39</v>
      </c>
      <c r="B42" s="130">
        <f t="shared" si="4"/>
        <v>2056</v>
      </c>
      <c r="C42" s="66">
        <v>0</v>
      </c>
      <c r="D42" s="383">
        <f t="shared" si="1"/>
        <v>31786418.920547843</v>
      </c>
      <c r="E42" s="94">
        <f>'Economic Competitiveness'!C91</f>
        <v>138633.33258355889</v>
      </c>
      <c r="F42" s="94">
        <f>'Economic Competitiveness'!D91</f>
        <v>5507.6635289061887</v>
      </c>
      <c r="G42" s="2">
        <f>'Economic Competitiveness'!C154</f>
        <v>122052.6096681684</v>
      </c>
      <c r="H42" s="2">
        <f>'Economic Competitiveness'!D154</f>
        <v>206450.42447665968</v>
      </c>
      <c r="I42" s="2">
        <f>'Economic Competitiveness'!C209</f>
        <v>454334.44724383531</v>
      </c>
      <c r="J42" s="2">
        <f>'Economic Competitiveness'!C271</f>
        <v>21242.612070446805</v>
      </c>
      <c r="K42" s="2">
        <f>'Economic Competitiveness'!D271</f>
        <v>1607.644611226913</v>
      </c>
      <c r="L42" s="71">
        <f>'Economic Competitiveness'!C477</f>
        <v>327895.8731518967</v>
      </c>
      <c r="M42" s="2">
        <f>'Economic Competitiveness'!L559</f>
        <v>836257.19428017619</v>
      </c>
      <c r="N42" s="2">
        <f>'Economic Competitiveness'!L605</f>
        <v>920691.621664315</v>
      </c>
      <c r="O42" s="2">
        <f>'Economic Competitiveness'!I658</f>
        <v>0</v>
      </c>
      <c r="P42" s="2">
        <f>'Economic Competitiveness'!J658</f>
        <v>4957785.6020566802</v>
      </c>
      <c r="Q42" s="306">
        <f>-'Economic Competitiveness'!N559</f>
        <v>0</v>
      </c>
      <c r="R42" s="306">
        <f t="shared" si="6"/>
        <v>-500000</v>
      </c>
      <c r="S42" s="306">
        <f>-'Economic Competitiveness'!E844</f>
        <v>-2555000</v>
      </c>
      <c r="T42" s="158">
        <f>'Economic Competitiveness'!F736</f>
        <v>4930317.6646880675</v>
      </c>
      <c r="U42" s="158">
        <f>'Economic Competitiveness'!G736</f>
        <v>13523747.777940234</v>
      </c>
      <c r="V42" s="236">
        <f>-'Economic Competitiveness'!D793</f>
        <v>-4314374.1718133781</v>
      </c>
      <c r="W42" s="158">
        <v>0</v>
      </c>
      <c r="X42" s="540">
        <v>0</v>
      </c>
      <c r="Y42" s="490">
        <f t="shared" si="2"/>
        <v>19077150.296150796</v>
      </c>
      <c r="Z42" s="163">
        <f>'Environmental Protection'!Q130</f>
        <v>258936.8197414249</v>
      </c>
      <c r="AA42" s="158">
        <f>'Environmental Protection'!P76</f>
        <v>1725916.7096999995</v>
      </c>
      <c r="AB42" s="266">
        <f t="shared" si="0"/>
        <v>1984853.5294414244</v>
      </c>
      <c r="AC42" s="371">
        <f>'Environmental Protection'!G182</f>
        <v>333036.42042706895</v>
      </c>
      <c r="AD42" s="158">
        <f>'Environmental Protection'!P182</f>
        <v>129365.99706675846</v>
      </c>
      <c r="AE42" s="266">
        <f t="shared" si="3"/>
        <v>462402.41749382741</v>
      </c>
      <c r="AF42" s="229">
        <f>Safety!E58</f>
        <v>10262012.677461794</v>
      </c>
      <c r="AG42" s="68"/>
      <c r="AH42" s="68"/>
      <c r="AI42" s="68"/>
      <c r="AJ42" s="68"/>
      <c r="AK42" s="68"/>
    </row>
    <row r="43" spans="1:45" x14ac:dyDescent="0.25">
      <c r="A43" s="477">
        <f t="shared" si="4"/>
        <v>40</v>
      </c>
      <c r="B43" s="478">
        <f t="shared" si="4"/>
        <v>2057</v>
      </c>
      <c r="C43" s="347">
        <v>0</v>
      </c>
      <c r="D43" s="505">
        <f t="shared" si="1"/>
        <v>65548363.684294097</v>
      </c>
      <c r="E43" s="348">
        <f>'Economic Competitiveness'!C92</f>
        <v>142196.66096729465</v>
      </c>
      <c r="F43" s="348">
        <f>'Economic Competitiveness'!D92</f>
        <v>5649.2284283057515</v>
      </c>
      <c r="G43" s="4">
        <f>'Economic Competitiveness'!C155</f>
        <v>125189.75944473795</v>
      </c>
      <c r="H43" s="4">
        <f>'Economic Competitiveness'!D155</f>
        <v>211756.87310385815</v>
      </c>
      <c r="I43" s="4">
        <f>'Economic Competitiveness'!C210</f>
        <v>466012.32298556616</v>
      </c>
      <c r="J43" s="4">
        <f>'Economic Competitiveness'!C272</f>
        <v>21788.616419651116</v>
      </c>
      <c r="K43" s="4">
        <f>'Economic Competitiveness'!D272</f>
        <v>1648.9663162410509</v>
      </c>
      <c r="L43" s="4">
        <f>'Economic Competitiveness'!C478</f>
        <v>336323.86553971394</v>
      </c>
      <c r="M43" s="4">
        <f>'Economic Competitiveness'!L560</f>
        <v>836257.19428017619</v>
      </c>
      <c r="N43" s="4">
        <f>'Economic Competitiveness'!L606</f>
        <v>920691.621664315</v>
      </c>
      <c r="O43" s="4">
        <f>'Economic Competitiveness'!I659</f>
        <v>0</v>
      </c>
      <c r="P43" s="4">
        <f>'Economic Competitiveness'!J659</f>
        <v>5085216.8469604775</v>
      </c>
      <c r="Q43" s="350">
        <f>-'Economic Competitiveness'!N560</f>
        <v>0</v>
      </c>
      <c r="R43" s="350">
        <f t="shared" si="6"/>
        <v>-750000</v>
      </c>
      <c r="S43" s="350">
        <f>-'Economic Competitiveness'!E845</f>
        <v>-2555000</v>
      </c>
      <c r="T43" s="351">
        <f>'Economic Competitiveness'!F737</f>
        <v>5166925.3977087336</v>
      </c>
      <c r="U43" s="351">
        <f>'Economic Competitiveness'!G737</f>
        <v>14172757.339048132</v>
      </c>
      <c r="V43" s="237">
        <f>-'Economic Competitiveness'!D794</f>
        <v>-4521422.5532000307</v>
      </c>
      <c r="W43" s="351">
        <v>0</v>
      </c>
      <c r="X43" s="481">
        <f>'Economic Competitiveness'!B802</f>
        <v>32666666.666666668</v>
      </c>
      <c r="Y43" s="539">
        <f t="shared" si="2"/>
        <v>52332658.80633384</v>
      </c>
      <c r="Z43" s="482">
        <f>'Environmental Protection'!Q131</f>
        <v>258936.8197414249</v>
      </c>
      <c r="AA43" s="481">
        <f>'Environmental Protection'!P77</f>
        <v>1725916.7096999995</v>
      </c>
      <c r="AB43" s="349">
        <f t="shared" si="0"/>
        <v>1984853.5294414244</v>
      </c>
      <c r="AC43" s="485">
        <f>'Environmental Protection'!G183</f>
        <v>344184.0203668857</v>
      </c>
      <c r="AD43" s="481">
        <f>'Environmental Protection'!P183</f>
        <v>132176.9401292502</v>
      </c>
      <c r="AE43" s="488">
        <f t="shared" si="3"/>
        <v>476360.96049613587</v>
      </c>
      <c r="AF43" s="504">
        <f>Safety!E59</f>
        <v>10754490.3880227</v>
      </c>
      <c r="AG43" s="68"/>
      <c r="AH43" s="68"/>
      <c r="AI43" s="68"/>
      <c r="AJ43" s="68"/>
      <c r="AK43" s="68"/>
    </row>
    <row r="44" spans="1:45" x14ac:dyDescent="0.25">
      <c r="A44" s="1"/>
      <c r="B44" s="134" t="s">
        <v>3</v>
      </c>
      <c r="C44" s="345">
        <f>SUM(C4:C39)</f>
        <v>70000000</v>
      </c>
      <c r="D44" s="506">
        <f t="shared" si="1"/>
        <v>532118466.73339593</v>
      </c>
      <c r="E44" s="155">
        <f t="shared" ref="E44:W44" si="7">SUM(E4:E43)</f>
        <v>3455636.2212314447</v>
      </c>
      <c r="F44" s="95">
        <f t="shared" si="7"/>
        <v>137286.47526648841</v>
      </c>
      <c r="G44" s="95">
        <f t="shared" si="7"/>
        <v>3042337.7336827102</v>
      </c>
      <c r="H44" s="95">
        <f t="shared" si="7"/>
        <v>5146075.2721943837</v>
      </c>
      <c r="I44" s="95">
        <f t="shared" si="7"/>
        <v>11324942.877663746</v>
      </c>
      <c r="J44" s="95">
        <f t="shared" si="7"/>
        <v>529502.81390631397</v>
      </c>
      <c r="K44" s="95">
        <f t="shared" si="7"/>
        <v>40072.865925478793</v>
      </c>
      <c r="L44" s="155">
        <f t="shared" si="7"/>
        <v>8173278.6404240532</v>
      </c>
      <c r="M44" s="95">
        <f t="shared" si="7"/>
        <v>31956174.917426482</v>
      </c>
      <c r="N44" s="95">
        <f t="shared" ref="N44:P44" si="8">SUM(N4:N43)</f>
        <v>29879512.095079247</v>
      </c>
      <c r="O44" s="343">
        <f t="shared" si="8"/>
        <v>0</v>
      </c>
      <c r="P44" s="343">
        <f t="shared" si="8"/>
        <v>113618882.25112832</v>
      </c>
      <c r="Q44" s="343">
        <f t="shared" si="7"/>
        <v>-1178315.2354309896</v>
      </c>
      <c r="R44" s="343">
        <f t="shared" ref="R44:S44" si="9">SUM(R4:R43)</f>
        <v>-10950000</v>
      </c>
      <c r="S44" s="343">
        <f t="shared" si="9"/>
        <v>-82390000</v>
      </c>
      <c r="T44" s="254">
        <f t="shared" si="7"/>
        <v>61165101.653200239</v>
      </c>
      <c r="U44" s="254">
        <f t="shared" ref="U44:V44" si="10">SUM(U4:U43)</f>
        <v>167774464.8168202</v>
      </c>
      <c r="V44" s="556">
        <f t="shared" si="10"/>
        <v>-53483081.494960643</v>
      </c>
      <c r="W44" s="254">
        <f t="shared" si="7"/>
        <v>9221652</v>
      </c>
      <c r="X44" s="541">
        <f t="shared" ref="X44" si="11">SUM(X4:X43)</f>
        <v>32666666.666666668</v>
      </c>
      <c r="Y44" s="490">
        <f>SUM(E44:X44)</f>
        <v>330130190.57022411</v>
      </c>
      <c r="Z44" s="346">
        <f>SUM(Z4:Z43)</f>
        <v>7042745.9084929666</v>
      </c>
      <c r="AA44" s="155">
        <f>SUM(AA4:AA43)</f>
        <v>61155807.059664041</v>
      </c>
      <c r="AB44" s="266">
        <f>SUM(Z44:AA44)</f>
        <v>68198552.968157008</v>
      </c>
      <c r="AC44" s="254">
        <f>SUM(AC4:AC43)</f>
        <v>4495972.0062841624</v>
      </c>
      <c r="AD44" s="254">
        <f>SUM(AD4:AD43)</f>
        <v>1984094.6367948242</v>
      </c>
      <c r="AE44" s="489">
        <f t="shared" si="3"/>
        <v>6480066.6430789866</v>
      </c>
      <c r="AF44" s="486">
        <f>SUM(AF4:AF43)</f>
        <v>127309656.55193585</v>
      </c>
      <c r="AG44" s="1"/>
      <c r="AH44" s="1"/>
      <c r="AI44" s="1"/>
      <c r="AJ44" s="1"/>
    </row>
    <row r="45" spans="1:45" x14ac:dyDescent="0.25">
      <c r="A45" s="1"/>
      <c r="B45" s="134" t="s">
        <v>4</v>
      </c>
      <c r="C45" s="584">
        <f>NPV(C46,C4:C43)</f>
        <v>59140781.180742227</v>
      </c>
      <c r="D45" s="585">
        <f t="shared" si="1"/>
        <v>95894280.232219681</v>
      </c>
      <c r="E45" s="164">
        <f t="shared" ref="D45:W47" si="12">NPV(E46,E4:E43)</f>
        <v>831072.99210147618</v>
      </c>
      <c r="F45" s="96">
        <f t="shared" si="12"/>
        <v>33017.098580511767</v>
      </c>
      <c r="G45" s="96">
        <f t="shared" si="12"/>
        <v>731675.60514049011</v>
      </c>
      <c r="H45" s="96">
        <f t="shared" si="12"/>
        <v>1237619.9056386622</v>
      </c>
      <c r="I45" s="96">
        <f t="shared" si="12"/>
        <v>2723624.1201813538</v>
      </c>
      <c r="J45" s="96">
        <f t="shared" si="12"/>
        <v>127344.27460146652</v>
      </c>
      <c r="K45" s="96">
        <f t="shared" si="12"/>
        <v>9637.4370606929733</v>
      </c>
      <c r="L45" s="164">
        <f t="shared" si="12"/>
        <v>1965655.7288184993</v>
      </c>
      <c r="M45" s="96">
        <f t="shared" si="12"/>
        <v>9923214.2826893851</v>
      </c>
      <c r="N45" s="96">
        <f t="shared" ref="N45:P45" si="13">NPV(N46,N4:N43)</f>
        <v>7187963.4974880749</v>
      </c>
      <c r="O45" s="344">
        <f t="shared" si="13"/>
        <v>0</v>
      </c>
      <c r="P45" s="344">
        <f t="shared" si="13"/>
        <v>23407303.394055162</v>
      </c>
      <c r="Q45" s="344">
        <f t="shared" si="12"/>
        <v>-798634.96401626349</v>
      </c>
      <c r="R45" s="344">
        <f t="shared" ref="R45:S45" si="14">NPV(R46,R4:R43)</f>
        <v>-3162405.6573948325</v>
      </c>
      <c r="S45" s="344">
        <f t="shared" si="14"/>
        <v>-19560508.939985115</v>
      </c>
      <c r="T45" s="164">
        <f t="shared" si="12"/>
        <v>8460199.1191608943</v>
      </c>
      <c r="U45" s="164">
        <f t="shared" ref="U45:V45" si="15">NPV(U46,U4:U43)</f>
        <v>23206131.292135071</v>
      </c>
      <c r="V45" s="557">
        <f t="shared" si="15"/>
        <v>-7385206.9920083685</v>
      </c>
      <c r="W45" s="164">
        <f t="shared" si="12"/>
        <v>7527614.9490262782</v>
      </c>
      <c r="X45" s="487">
        <f t="shared" ref="X45:Y45" si="16">NPV(X46,X4:X43)</f>
        <v>2181492.4465002604</v>
      </c>
      <c r="Y45" s="537">
        <f t="shared" si="16"/>
        <v>58646809.589773685</v>
      </c>
      <c r="Z45" s="246">
        <f>NPV(Z46,Z4:Z43)</f>
        <v>1584807.6986858663</v>
      </c>
      <c r="AA45" s="164">
        <f>NPV(AA46,AA4:AA43)</f>
        <v>17094413.628330942</v>
      </c>
      <c r="AB45" s="266">
        <f t="shared" si="0"/>
        <v>18679221.327016808</v>
      </c>
      <c r="AC45" s="164">
        <f>NPV(AC46,AC4:AC43)</f>
        <v>648758.60028216324</v>
      </c>
      <c r="AD45" s="164">
        <f>NPV(AD46,AD4:AD43)</f>
        <v>310347.34564508044</v>
      </c>
      <c r="AE45" s="266">
        <f t="shared" si="3"/>
        <v>959105.94592724368</v>
      </c>
      <c r="AF45" s="487">
        <f>NPV(AF46,AF4:AF43)</f>
        <v>17609143.369501948</v>
      </c>
      <c r="AG45" s="1"/>
      <c r="AH45" s="1"/>
      <c r="AI45" s="1"/>
      <c r="AJ45" s="1"/>
    </row>
    <row r="46" spans="1:45" x14ac:dyDescent="0.25">
      <c r="A46" s="149"/>
      <c r="B46" s="153" t="s">
        <v>6</v>
      </c>
      <c r="C46" s="243">
        <v>7.0000000000000007E-2</v>
      </c>
      <c r="D46" s="243">
        <v>7.0000000000000007E-2</v>
      </c>
      <c r="E46" s="154">
        <v>7.0000000000000007E-2</v>
      </c>
      <c r="F46" s="154">
        <v>7.0000000000000007E-2</v>
      </c>
      <c r="G46" s="154">
        <v>7.0000000000000007E-2</v>
      </c>
      <c r="H46" s="154">
        <v>7.0000000000000007E-2</v>
      </c>
      <c r="I46" s="154">
        <v>7.0000000000000007E-2</v>
      </c>
      <c r="J46" s="154">
        <v>7.0000000000000007E-2</v>
      </c>
      <c r="K46" s="154">
        <v>7.0000000000000007E-2</v>
      </c>
      <c r="L46" s="154">
        <v>7.0000000000000007E-2</v>
      </c>
      <c r="M46" s="154">
        <v>7.0000000000000007E-2</v>
      </c>
      <c r="N46" s="154">
        <v>7.0000000000000007E-2</v>
      </c>
      <c r="O46" s="154">
        <v>7.0000000000000007E-2</v>
      </c>
      <c r="P46" s="154">
        <v>7.0000000000000007E-2</v>
      </c>
      <c r="Q46" s="154">
        <v>7.0000000000000007E-2</v>
      </c>
      <c r="R46" s="154">
        <v>7.0000000000000007E-2</v>
      </c>
      <c r="S46" s="154">
        <v>7.0000000000000007E-2</v>
      </c>
      <c r="T46" s="244">
        <v>7.0000000000000007E-2</v>
      </c>
      <c r="U46" s="244">
        <v>7.0000000000000007E-2</v>
      </c>
      <c r="V46" s="244">
        <v>7.0000000000000007E-2</v>
      </c>
      <c r="W46" s="244">
        <v>7.0000000000000007E-2</v>
      </c>
      <c r="X46" s="542">
        <v>7.0000000000000007E-2</v>
      </c>
      <c r="Y46" s="538">
        <v>7.0000000000000007E-2</v>
      </c>
      <c r="Z46" s="165">
        <v>7.0000000000000007E-2</v>
      </c>
      <c r="AA46" s="154">
        <v>7.0000000000000007E-2</v>
      </c>
      <c r="AB46" s="267">
        <v>7.0000000000000007E-2</v>
      </c>
      <c r="AC46" s="244">
        <v>7.0000000000000007E-2</v>
      </c>
      <c r="AD46" s="244">
        <v>7.0000000000000007E-2</v>
      </c>
      <c r="AE46" s="267">
        <v>7.0000000000000007E-2</v>
      </c>
      <c r="AF46" s="245">
        <v>7.0000000000000007E-2</v>
      </c>
      <c r="AG46" s="11"/>
      <c r="AH46" s="11"/>
      <c r="AI46" s="11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25">
      <c r="D47" s="164">
        <f t="shared" si="12"/>
        <v>1157743124.7301421</v>
      </c>
      <c r="AA47" s="68"/>
      <c r="AB47" s="507"/>
      <c r="AC47" s="484"/>
      <c r="AD47" s="67"/>
      <c r="AE47" s="507"/>
      <c r="AF47" s="68"/>
    </row>
    <row r="48" spans="1:45" x14ac:dyDescent="0.25">
      <c r="D48" s="164"/>
      <c r="E48" s="71"/>
      <c r="Y48" s="71">
        <f>SUM(E45:X45)</f>
        <v>58646809.5897737</v>
      </c>
      <c r="AA48" s="68"/>
      <c r="AB48" s="507"/>
      <c r="AC48" s="484"/>
      <c r="AD48" s="67"/>
      <c r="AE48" s="507"/>
      <c r="AF48" s="68"/>
    </row>
    <row r="49" spans="1:30" x14ac:dyDescent="0.25">
      <c r="C49" s="241" t="s">
        <v>258</v>
      </c>
      <c r="D49" s="242">
        <f>D45/C45</f>
        <v>1.6214577879712782</v>
      </c>
      <c r="Q49" s="10"/>
      <c r="R49" s="10"/>
      <c r="S49" s="10"/>
      <c r="AA49" s="68"/>
      <c r="AC49" s="365"/>
      <c r="AD49" s="28"/>
    </row>
    <row r="50" spans="1:30" x14ac:dyDescent="0.25">
      <c r="E50" s="71"/>
      <c r="Y50" s="71"/>
      <c r="AA50" s="68"/>
      <c r="AC50" s="365"/>
      <c r="AD50" s="28"/>
    </row>
    <row r="51" spans="1:30" x14ac:dyDescent="0.25">
      <c r="AA51" s="68"/>
      <c r="AC51" s="365"/>
      <c r="AD51" s="28"/>
    </row>
    <row r="53" spans="1:30" ht="30" x14ac:dyDescent="0.25">
      <c r="A53" s="1" t="s">
        <v>489</v>
      </c>
      <c r="B53" s="16" t="s">
        <v>1</v>
      </c>
      <c r="C53" s="16" t="s">
        <v>491</v>
      </c>
      <c r="D53" s="579" t="s">
        <v>2</v>
      </c>
      <c r="E53" s="578" t="s">
        <v>3</v>
      </c>
      <c r="F53" s="15"/>
    </row>
    <row r="54" spans="1:30" x14ac:dyDescent="0.25">
      <c r="A54" s="1" t="s">
        <v>23</v>
      </c>
      <c r="B54" s="2">
        <f>Y44</f>
        <v>330130190.57022411</v>
      </c>
      <c r="C54" s="2">
        <f>AB44+AB44</f>
        <v>136397105.93631402</v>
      </c>
      <c r="D54" s="71">
        <f>AF44</f>
        <v>127309656.55193585</v>
      </c>
      <c r="E54" s="71">
        <f>SUM(B54:D54)</f>
        <v>593836953.05847406</v>
      </c>
    </row>
    <row r="55" spans="1:30" x14ac:dyDescent="0.25">
      <c r="A55" s="1" t="s">
        <v>4</v>
      </c>
      <c r="B55" s="2">
        <f>Y45</f>
        <v>58646809.589773685</v>
      </c>
      <c r="C55" s="2">
        <f>AB45+AE45</f>
        <v>19638327.272944052</v>
      </c>
      <c r="D55" s="71">
        <f>AF45</f>
        <v>17609143.369501948</v>
      </c>
      <c r="E55" s="71">
        <f>SUM(B55:D55)</f>
        <v>95894280.232219681</v>
      </c>
    </row>
  </sheetData>
  <pageMargins left="0.7" right="0.7" top="0.75" bottom="0.75" header="0.3" footer="0.3"/>
  <pageSetup paperSize="256" scale="42" orientation="landscape" r:id="rId1"/>
  <headerFoot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B6" sqref="B6"/>
    </sheetView>
  </sheetViews>
  <sheetFormatPr defaultRowHeight="15" x14ac:dyDescent="0.25"/>
  <cols>
    <col min="1" max="1" width="34" style="15" customWidth="1"/>
    <col min="2" max="8" width="14.28515625" customWidth="1"/>
  </cols>
  <sheetData>
    <row r="1" spans="1:6" s="13" customFormat="1" x14ac:dyDescent="0.25">
      <c r="A1" s="248" t="s">
        <v>8</v>
      </c>
    </row>
    <row r="2" spans="1:6" ht="30" x14ac:dyDescent="0.25">
      <c r="A2" s="247" t="s">
        <v>405</v>
      </c>
      <c r="B2" s="159">
        <f>B3-B4</f>
        <v>40000</v>
      </c>
      <c r="C2" s="6" t="s">
        <v>9</v>
      </c>
      <c r="D2" s="6"/>
      <c r="E2" s="6"/>
      <c r="F2" s="6"/>
    </row>
    <row r="3" spans="1:6" x14ac:dyDescent="0.25">
      <c r="A3" s="15" t="s">
        <v>349</v>
      </c>
      <c r="B3" s="2">
        <v>540000</v>
      </c>
    </row>
    <row r="4" spans="1:6" x14ac:dyDescent="0.25">
      <c r="A4" s="15" t="s">
        <v>404</v>
      </c>
      <c r="B4" s="508">
        <v>500000</v>
      </c>
    </row>
    <row r="5" spans="1:6" x14ac:dyDescent="0.25">
      <c r="A5" s="15" t="s">
        <v>492</v>
      </c>
      <c r="B5" s="508">
        <f>B3-B4</f>
        <v>40000</v>
      </c>
    </row>
    <row r="7" spans="1:6" ht="30" x14ac:dyDescent="0.25">
      <c r="A7" s="15" t="s">
        <v>486</v>
      </c>
      <c r="B7" s="533">
        <v>550000</v>
      </c>
    </row>
    <row r="8" spans="1:6" ht="30" x14ac:dyDescent="0.25">
      <c r="A8" s="15" t="s">
        <v>487</v>
      </c>
      <c r="B8" s="306">
        <f>B7-B4</f>
        <v>50000</v>
      </c>
    </row>
    <row r="9" spans="1:6" x14ac:dyDescent="0.25">
      <c r="A9" s="247" t="s">
        <v>435</v>
      </c>
      <c r="B9" s="2">
        <v>35000</v>
      </c>
    </row>
    <row r="12" spans="1:6" x14ac:dyDescent="0.25">
      <c r="A12" s="15" t="s">
        <v>485</v>
      </c>
      <c r="B12" s="390">
        <v>2.8000000000000001E-2</v>
      </c>
      <c r="C12" t="s">
        <v>488</v>
      </c>
    </row>
  </sheetData>
  <pageMargins left="0.7" right="0.7" top="0.75" bottom="0.75" header="0.3" footer="0.3"/>
  <pageSetup paperSize="256" scale="85" orientation="landscape" r:id="rId1"/>
  <headerFoot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F28" sqref="F28"/>
    </sheetView>
  </sheetViews>
  <sheetFormatPr defaultRowHeight="15" x14ac:dyDescent="0.25"/>
  <cols>
    <col min="1" max="1" width="29.28515625" customWidth="1"/>
    <col min="2" max="2" width="15.85546875" customWidth="1"/>
    <col min="3" max="5" width="13.28515625" customWidth="1"/>
    <col min="6" max="42" width="24.5703125" customWidth="1"/>
    <col min="43" max="43" width="12.85546875" customWidth="1"/>
    <col min="44" max="45" width="12.140625" customWidth="1"/>
    <col min="46" max="47" width="11.28515625" customWidth="1"/>
  </cols>
  <sheetData>
    <row r="1" spans="1:47 16384:16384" x14ac:dyDescent="0.25">
      <c r="D1">
        <v>1</v>
      </c>
      <c r="E1">
        <f t="shared" ref="E1:AP1" si="0">D1+1</f>
        <v>2</v>
      </c>
      <c r="F1">
        <f t="shared" si="0"/>
        <v>3</v>
      </c>
      <c r="G1">
        <f t="shared" si="0"/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 s="311">
        <f t="shared" si="0"/>
        <v>31</v>
      </c>
      <c r="AI1" s="311">
        <f t="shared" si="0"/>
        <v>32</v>
      </c>
      <c r="AJ1" s="311">
        <f t="shared" si="0"/>
        <v>33</v>
      </c>
      <c r="AK1" s="311">
        <f t="shared" si="0"/>
        <v>34</v>
      </c>
      <c r="AL1" s="311">
        <f t="shared" si="0"/>
        <v>35</v>
      </c>
      <c r="AM1" s="311">
        <f t="shared" si="0"/>
        <v>36</v>
      </c>
      <c r="AN1" s="311">
        <f t="shared" si="0"/>
        <v>37</v>
      </c>
      <c r="AO1" s="311">
        <f t="shared" si="0"/>
        <v>38</v>
      </c>
      <c r="AP1" s="311">
        <f t="shared" si="0"/>
        <v>39</v>
      </c>
    </row>
    <row r="2" spans="1:47 16384:16384" x14ac:dyDescent="0.25">
      <c r="A2" s="45"/>
      <c r="B2" s="171">
        <v>2018</v>
      </c>
      <c r="C2" s="171">
        <f>B2+1</f>
        <v>2019</v>
      </c>
      <c r="D2" s="171">
        <f t="shared" ref="D2:AP2" si="1">C2+1</f>
        <v>2020</v>
      </c>
      <c r="E2" s="171">
        <f t="shared" si="1"/>
        <v>2021</v>
      </c>
      <c r="F2" s="171">
        <f t="shared" si="1"/>
        <v>2022</v>
      </c>
      <c r="G2" s="171">
        <f t="shared" si="1"/>
        <v>2023</v>
      </c>
      <c r="H2" s="171">
        <f t="shared" si="1"/>
        <v>2024</v>
      </c>
      <c r="I2" s="171">
        <f t="shared" si="1"/>
        <v>2025</v>
      </c>
      <c r="J2" s="171">
        <f t="shared" si="1"/>
        <v>2026</v>
      </c>
      <c r="K2" s="171">
        <f t="shared" si="1"/>
        <v>2027</v>
      </c>
      <c r="L2" s="171">
        <f t="shared" si="1"/>
        <v>2028</v>
      </c>
      <c r="M2" s="171">
        <f t="shared" si="1"/>
        <v>2029</v>
      </c>
      <c r="N2" s="171">
        <f t="shared" si="1"/>
        <v>2030</v>
      </c>
      <c r="O2" s="171">
        <f t="shared" si="1"/>
        <v>2031</v>
      </c>
      <c r="P2" s="171">
        <f t="shared" si="1"/>
        <v>2032</v>
      </c>
      <c r="Q2" s="171">
        <f t="shared" si="1"/>
        <v>2033</v>
      </c>
      <c r="R2" s="171">
        <f t="shared" si="1"/>
        <v>2034</v>
      </c>
      <c r="S2" s="171">
        <f t="shared" si="1"/>
        <v>2035</v>
      </c>
      <c r="T2" s="171">
        <f t="shared" si="1"/>
        <v>2036</v>
      </c>
      <c r="U2" s="171">
        <f t="shared" si="1"/>
        <v>2037</v>
      </c>
      <c r="V2" s="171">
        <f t="shared" si="1"/>
        <v>2038</v>
      </c>
      <c r="W2" s="171">
        <f t="shared" si="1"/>
        <v>2039</v>
      </c>
      <c r="X2" s="171">
        <f t="shared" si="1"/>
        <v>2040</v>
      </c>
      <c r="Y2" s="171">
        <f t="shared" si="1"/>
        <v>2041</v>
      </c>
      <c r="Z2" s="171">
        <f t="shared" si="1"/>
        <v>2042</v>
      </c>
      <c r="AA2" s="171">
        <f t="shared" si="1"/>
        <v>2043</v>
      </c>
      <c r="AB2" s="171">
        <f t="shared" si="1"/>
        <v>2044</v>
      </c>
      <c r="AC2" s="171">
        <f t="shared" si="1"/>
        <v>2045</v>
      </c>
      <c r="AD2" s="171">
        <f t="shared" si="1"/>
        <v>2046</v>
      </c>
      <c r="AE2" s="171">
        <f t="shared" si="1"/>
        <v>2047</v>
      </c>
      <c r="AF2" s="171">
        <f t="shared" si="1"/>
        <v>2048</v>
      </c>
      <c r="AG2" s="171">
        <f t="shared" si="1"/>
        <v>2049</v>
      </c>
      <c r="AH2" s="387">
        <f t="shared" si="1"/>
        <v>2050</v>
      </c>
      <c r="AI2" s="387">
        <f t="shared" si="1"/>
        <v>2051</v>
      </c>
      <c r="AJ2" s="387">
        <f t="shared" si="1"/>
        <v>2052</v>
      </c>
      <c r="AK2" s="387">
        <f t="shared" si="1"/>
        <v>2053</v>
      </c>
      <c r="AL2" s="387">
        <f t="shared" si="1"/>
        <v>2054</v>
      </c>
      <c r="AM2" s="387">
        <f t="shared" si="1"/>
        <v>2055</v>
      </c>
      <c r="AN2" s="387">
        <f t="shared" si="1"/>
        <v>2056</v>
      </c>
      <c r="AO2" s="387">
        <f t="shared" si="1"/>
        <v>2057</v>
      </c>
      <c r="AP2" s="387">
        <f t="shared" si="1"/>
        <v>2058</v>
      </c>
      <c r="AQ2" s="171"/>
      <c r="AR2" s="171"/>
      <c r="AS2" s="171"/>
      <c r="AT2" s="171"/>
      <c r="AU2" s="172"/>
    </row>
    <row r="3" spans="1:47 16384:16384" x14ac:dyDescent="0.25">
      <c r="A3" s="6" t="s">
        <v>310</v>
      </c>
      <c r="B3" s="29">
        <v>3872576</v>
      </c>
      <c r="C3" s="29">
        <v>3950000</v>
      </c>
      <c r="D3" s="29">
        <v>4030000</v>
      </c>
      <c r="E3" s="29">
        <v>4110000</v>
      </c>
      <c r="F3" s="29">
        <v>4200000</v>
      </c>
      <c r="G3" s="29">
        <v>4290000</v>
      </c>
      <c r="H3" s="29">
        <v>4380000</v>
      </c>
      <c r="I3" s="29">
        <v>4470000</v>
      </c>
      <c r="J3" s="29">
        <v>4560000</v>
      </c>
      <c r="K3" s="29">
        <v>4660000</v>
      </c>
      <c r="L3" s="29">
        <v>4760000</v>
      </c>
      <c r="M3" s="29">
        <v>4860000</v>
      </c>
      <c r="N3" s="29">
        <v>4960000</v>
      </c>
      <c r="O3" s="29">
        <v>5060000</v>
      </c>
      <c r="P3" s="29">
        <v>5170000</v>
      </c>
      <c r="Q3" s="29">
        <v>5280000</v>
      </c>
      <c r="R3" s="29">
        <v>5390000</v>
      </c>
      <c r="S3" s="29">
        <v>5500000</v>
      </c>
      <c r="T3" s="29">
        <v>5620000</v>
      </c>
      <c r="U3" s="29">
        <v>5740000</v>
      </c>
      <c r="V3" s="29">
        <v>5860000</v>
      </c>
      <c r="W3" s="29">
        <v>5980000</v>
      </c>
      <c r="X3" s="29">
        <v>6110000</v>
      </c>
      <c r="Y3" s="29">
        <v>6240000</v>
      </c>
      <c r="Z3" s="29">
        <v>6370000</v>
      </c>
      <c r="AA3" s="29">
        <v>6500000</v>
      </c>
      <c r="AB3" s="29">
        <v>6640000</v>
      </c>
      <c r="AC3" s="29">
        <v>6780000</v>
      </c>
      <c r="AD3" s="29">
        <v>6920000</v>
      </c>
      <c r="AE3" s="29">
        <v>7070000</v>
      </c>
      <c r="AF3" s="29">
        <v>7220000</v>
      </c>
      <c r="AG3" s="29">
        <v>7370000</v>
      </c>
      <c r="AH3" s="29">
        <v>7520000</v>
      </c>
      <c r="AI3" s="29">
        <v>7680000</v>
      </c>
      <c r="AJ3" s="29">
        <v>7840000</v>
      </c>
      <c r="AK3" s="29">
        <v>8000000</v>
      </c>
      <c r="AL3" s="29">
        <v>8170000</v>
      </c>
      <c r="AM3" s="29">
        <v>8340000</v>
      </c>
      <c r="AN3" s="29">
        <v>8520000</v>
      </c>
      <c r="AO3" s="29">
        <v>8700000</v>
      </c>
      <c r="AP3" s="29">
        <v>8880000</v>
      </c>
      <c r="AQ3" s="29">
        <v>9070000</v>
      </c>
      <c r="AS3" s="29"/>
      <c r="AT3" s="29"/>
      <c r="AU3" s="29"/>
    </row>
    <row r="4" spans="1:47 16384:16384" x14ac:dyDescent="0.25">
      <c r="A4" s="6" t="s">
        <v>198</v>
      </c>
      <c r="B4" s="262">
        <v>3872576</v>
      </c>
      <c r="C4" s="29">
        <v>3950000</v>
      </c>
      <c r="D4" s="29">
        <v>4030000</v>
      </c>
      <c r="E4" s="29">
        <v>4110000</v>
      </c>
      <c r="F4" s="29">
        <v>4187222.1117990762</v>
      </c>
      <c r="G4" s="29">
        <v>4253670.5913420981</v>
      </c>
      <c r="H4" s="29">
        <v>4321063.3420746243</v>
      </c>
      <c r="I4" s="29">
        <v>4389410.7196071334</v>
      </c>
      <c r="J4" s="29">
        <v>4458723.098062153</v>
      </c>
      <c r="K4" s="29">
        <v>4529010.8662849376</v>
      </c>
      <c r="L4" s="29">
        <v>4600284.4238868337</v>
      </c>
      <c r="M4" s="29">
        <v>4672554.1771159777</v>
      </c>
      <c r="N4" s="29">
        <v>4745830.5345498109</v>
      </c>
      <c r="O4" s="29">
        <v>4820123.9026037576</v>
      </c>
      <c r="P4" s="29">
        <v>4895444.6808502339</v>
      </c>
      <c r="Q4" s="29">
        <v>4971803.2571420139</v>
      </c>
      <c r="R4" s="29">
        <v>5049210.0025337934</v>
      </c>
      <c r="S4" s="29">
        <v>5127675.2659956291</v>
      </c>
      <c r="T4" s="29">
        <v>5207209.3689117432</v>
      </c>
      <c r="U4" s="29">
        <v>5287822.5993580306</v>
      </c>
      <c r="V4" s="29">
        <v>5369525.2061513709</v>
      </c>
      <c r="W4" s="29">
        <v>5452327.3926637154</v>
      </c>
      <c r="X4" s="29">
        <v>5536239.3103936668</v>
      </c>
      <c r="Y4" s="29">
        <v>5621271.0522881104</v>
      </c>
      <c r="Z4" s="29">
        <v>5707432.6458062362</v>
      </c>
      <c r="AA4" s="29">
        <v>5794734.0457180645</v>
      </c>
      <c r="AB4" s="29">
        <v>5883185.1266293898</v>
      </c>
      <c r="AC4" s="29">
        <v>5972795.6752248295</v>
      </c>
      <c r="AD4" s="29">
        <v>6063575.3822204322</v>
      </c>
      <c r="AE4" s="29">
        <v>6155533.8340170765</v>
      </c>
      <c r="AF4" s="29">
        <v>6248680.5040456224</v>
      </c>
      <c r="AG4" s="29">
        <v>6343024.7437945642</v>
      </c>
      <c r="AH4" s="29">
        <v>6438575.7735106796</v>
      </c>
      <c r="AI4" s="29">
        <v>6535342.6725628562</v>
      </c>
      <c r="AJ4" s="29">
        <v>6633334.3694591057</v>
      </c>
      <c r="AK4" s="29">
        <v>6732559.6315063993</v>
      </c>
      <c r="AL4" s="29">
        <v>6833027.0541027468</v>
      </c>
      <c r="AM4" s="29">
        <v>6934745.0496506467</v>
      </c>
      <c r="AN4" s="29">
        <v>7037721.8360806992</v>
      </c>
      <c r="AO4" s="29">
        <v>7185513.9946383927</v>
      </c>
      <c r="AP4" s="29">
        <v>7336409.7885257993</v>
      </c>
      <c r="AQ4" s="29">
        <v>7490474.3940848392</v>
      </c>
      <c r="AS4" s="262"/>
      <c r="AT4" s="262"/>
      <c r="AU4" s="29"/>
    </row>
    <row r="5" spans="1:47 16384:16384" x14ac:dyDescent="0.25">
      <c r="A5" s="29" t="s">
        <v>199</v>
      </c>
      <c r="B5" s="29">
        <v>19096979</v>
      </c>
      <c r="C5" s="29">
        <v>19500000</v>
      </c>
      <c r="D5" s="29">
        <v>19900000</v>
      </c>
      <c r="E5" s="29">
        <v>20300000</v>
      </c>
      <c r="F5" s="29">
        <v>20700000</v>
      </c>
      <c r="G5" s="29">
        <v>21100000</v>
      </c>
      <c r="H5" s="29">
        <v>21500000</v>
      </c>
      <c r="I5" s="29">
        <v>22000000</v>
      </c>
      <c r="J5" s="29">
        <v>22500000</v>
      </c>
      <c r="K5" s="29">
        <v>23000000</v>
      </c>
      <c r="L5" s="29">
        <v>23500000</v>
      </c>
      <c r="M5" s="29">
        <v>24000000</v>
      </c>
      <c r="N5" s="29">
        <v>24500000</v>
      </c>
      <c r="O5" s="29">
        <v>25000000</v>
      </c>
      <c r="P5" s="29">
        <v>25500000</v>
      </c>
      <c r="Q5" s="29">
        <v>26000000</v>
      </c>
      <c r="R5" s="29">
        <v>26500000</v>
      </c>
      <c r="S5" s="29">
        <v>27100000</v>
      </c>
      <c r="T5" s="29">
        <v>27700000</v>
      </c>
      <c r="U5" s="29">
        <v>28300000</v>
      </c>
      <c r="V5" s="29">
        <v>28900000</v>
      </c>
      <c r="W5" s="29">
        <v>29500000</v>
      </c>
      <c r="X5" s="29">
        <v>30100000</v>
      </c>
      <c r="Y5" s="29">
        <v>30700000</v>
      </c>
      <c r="Z5" s="29">
        <v>31300000</v>
      </c>
      <c r="AA5" s="29">
        <v>32000000</v>
      </c>
      <c r="AB5" s="29">
        <v>32700000</v>
      </c>
      <c r="AC5" s="29">
        <v>33400000</v>
      </c>
      <c r="AD5" s="29">
        <v>34100000</v>
      </c>
      <c r="AE5" s="29">
        <v>34800000</v>
      </c>
      <c r="AF5" s="29">
        <v>35500000</v>
      </c>
      <c r="AG5" s="29">
        <v>36200000</v>
      </c>
      <c r="AH5" s="29">
        <v>37000000</v>
      </c>
      <c r="AI5" s="29">
        <v>37800000</v>
      </c>
      <c r="AJ5" s="29">
        <v>38600000</v>
      </c>
      <c r="AK5" s="29">
        <v>39400000</v>
      </c>
      <c r="AL5" s="29">
        <v>40200000</v>
      </c>
      <c r="AM5" s="29">
        <v>41000000</v>
      </c>
      <c r="AN5" s="29">
        <v>41900000</v>
      </c>
      <c r="AO5" s="29">
        <v>42800000</v>
      </c>
      <c r="AP5" s="29">
        <v>43700000</v>
      </c>
      <c r="AQ5" s="29">
        <v>44600000</v>
      </c>
      <c r="AS5" s="29"/>
      <c r="AT5" s="29"/>
      <c r="AU5" s="29"/>
    </row>
    <row r="6" spans="1:47 16384:16384" x14ac:dyDescent="0.25">
      <c r="B6" s="2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AR6" s="386" t="s">
        <v>347</v>
      </c>
    </row>
    <row r="7" spans="1:47 16384:16384" x14ac:dyDescent="0.25"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AR7" s="386" t="s">
        <v>348</v>
      </c>
    </row>
    <row r="8" spans="1:47 16384:16384" x14ac:dyDescent="0.25">
      <c r="A8" s="29" t="s">
        <v>340</v>
      </c>
      <c r="B8" s="29">
        <f>B3/292</f>
        <v>13262.246575342466</v>
      </c>
      <c r="C8" s="29">
        <f t="shared" ref="C8:AQ10" si="2">C3/292</f>
        <v>13527.397260273972</v>
      </c>
      <c r="D8" s="29">
        <f t="shared" si="2"/>
        <v>13801.369863013699</v>
      </c>
      <c r="E8" s="29">
        <f t="shared" si="2"/>
        <v>14075.342465753425</v>
      </c>
      <c r="F8" s="29">
        <f t="shared" si="2"/>
        <v>14383.561643835616</v>
      </c>
      <c r="G8" s="29">
        <f t="shared" si="2"/>
        <v>14691.780821917808</v>
      </c>
      <c r="H8" s="29">
        <f t="shared" si="2"/>
        <v>15000</v>
      </c>
      <c r="I8" s="29">
        <f t="shared" si="2"/>
        <v>15308.219178082192</v>
      </c>
      <c r="J8" s="29">
        <f t="shared" si="2"/>
        <v>15616.438356164384</v>
      </c>
      <c r="K8" s="29">
        <f t="shared" si="2"/>
        <v>15958.904109589041</v>
      </c>
      <c r="L8" s="29">
        <f t="shared" si="2"/>
        <v>16301.369863013699</v>
      </c>
      <c r="M8" s="29">
        <f t="shared" si="2"/>
        <v>16643.835616438355</v>
      </c>
      <c r="N8" s="29">
        <f t="shared" si="2"/>
        <v>16986.301369863013</v>
      </c>
      <c r="O8" s="29">
        <f t="shared" si="2"/>
        <v>17328.767123287671</v>
      </c>
      <c r="P8" s="29">
        <f t="shared" si="2"/>
        <v>17705.479452054795</v>
      </c>
      <c r="Q8" s="29">
        <f t="shared" si="2"/>
        <v>18082.191780821919</v>
      </c>
      <c r="R8" s="29">
        <f t="shared" si="2"/>
        <v>18458.904109589042</v>
      </c>
      <c r="S8" s="29">
        <f t="shared" si="2"/>
        <v>18835.616438356163</v>
      </c>
      <c r="T8" s="29">
        <f t="shared" si="2"/>
        <v>19246.575342465752</v>
      </c>
      <c r="U8" s="29">
        <f t="shared" si="2"/>
        <v>19657.534246575342</v>
      </c>
      <c r="V8" s="29">
        <f t="shared" si="2"/>
        <v>20068.493150684932</v>
      </c>
      <c r="W8" s="29">
        <f t="shared" si="2"/>
        <v>20479.452054794521</v>
      </c>
      <c r="X8" s="29">
        <f t="shared" si="2"/>
        <v>20924.657534246577</v>
      </c>
      <c r="Y8" s="29">
        <f t="shared" si="2"/>
        <v>21369.863013698628</v>
      </c>
      <c r="Z8" s="29">
        <f t="shared" si="2"/>
        <v>21815.068493150684</v>
      </c>
      <c r="AA8" s="29">
        <f t="shared" si="2"/>
        <v>22260.273972602739</v>
      </c>
      <c r="AB8" s="29">
        <f t="shared" si="2"/>
        <v>22739.726027397261</v>
      </c>
      <c r="AC8" s="29">
        <f t="shared" si="2"/>
        <v>23219.178082191782</v>
      </c>
      <c r="AD8" s="29">
        <f t="shared" si="2"/>
        <v>23698.630136986303</v>
      </c>
      <c r="AE8" s="29">
        <f t="shared" si="2"/>
        <v>24212.328767123287</v>
      </c>
      <c r="AF8" s="29">
        <f t="shared" si="2"/>
        <v>24726.027397260274</v>
      </c>
      <c r="AG8" s="29">
        <f t="shared" si="2"/>
        <v>25239.726027397261</v>
      </c>
      <c r="AH8" s="29">
        <f t="shared" si="2"/>
        <v>25753.424657534248</v>
      </c>
      <c r="AI8" s="29">
        <f t="shared" si="2"/>
        <v>26301.369863013697</v>
      </c>
      <c r="AJ8" s="29">
        <f t="shared" si="2"/>
        <v>26849.31506849315</v>
      </c>
      <c r="AK8" s="29">
        <f t="shared" si="2"/>
        <v>27397.260273972603</v>
      </c>
      <c r="AL8" s="29">
        <f t="shared" si="2"/>
        <v>27979.452054794521</v>
      </c>
      <c r="AM8" s="29">
        <f t="shared" si="2"/>
        <v>28561.64383561644</v>
      </c>
      <c r="AN8" s="29">
        <f t="shared" si="2"/>
        <v>29178.082191780821</v>
      </c>
      <c r="AO8" s="29">
        <f t="shared" si="2"/>
        <v>29794.520547945205</v>
      </c>
      <c r="AP8" s="29">
        <f t="shared" si="2"/>
        <v>30410.95890410959</v>
      </c>
      <c r="AQ8" s="29">
        <f t="shared" si="2"/>
        <v>31061.64383561644</v>
      </c>
      <c r="AR8" s="386">
        <v>2017</v>
      </c>
      <c r="AS8" s="29"/>
      <c r="AT8" s="29"/>
      <c r="AU8" s="29"/>
    </row>
    <row r="9" spans="1:47 16384:16384" x14ac:dyDescent="0.25">
      <c r="A9" s="29" t="s">
        <v>309</v>
      </c>
      <c r="B9" s="29">
        <f>B4/292</f>
        <v>13262.246575342466</v>
      </c>
      <c r="C9" s="29">
        <f t="shared" si="2"/>
        <v>13527.397260273972</v>
      </c>
      <c r="D9" s="29">
        <f t="shared" si="2"/>
        <v>13801.369863013699</v>
      </c>
      <c r="E9" s="29">
        <f t="shared" si="2"/>
        <v>14075.342465753425</v>
      </c>
      <c r="F9" s="29">
        <f t="shared" si="2"/>
        <v>14339.801752736563</v>
      </c>
      <c r="G9" s="29">
        <f t="shared" si="2"/>
        <v>14567.365038842801</v>
      </c>
      <c r="H9" s="29">
        <f t="shared" si="2"/>
        <v>14798.162130392549</v>
      </c>
      <c r="I9" s="29">
        <f t="shared" si="2"/>
        <v>15032.228491805252</v>
      </c>
      <c r="J9" s="29">
        <f t="shared" si="2"/>
        <v>15269.599650897784</v>
      </c>
      <c r="K9" s="29">
        <f t="shared" si="2"/>
        <v>15510.31118590732</v>
      </c>
      <c r="L9" s="29">
        <f t="shared" si="2"/>
        <v>15754.398711941212</v>
      </c>
      <c r="M9" s="29">
        <f t="shared" si="2"/>
        <v>16001.897866835539</v>
      </c>
      <c r="N9" s="29">
        <f t="shared" si="2"/>
        <v>16252.844296403462</v>
      </c>
      <c r="O9" s="29">
        <f t="shared" si="2"/>
        <v>16507.273639053965</v>
      </c>
      <c r="P9" s="29">
        <f t="shared" si="2"/>
        <v>16765.221509761075</v>
      </c>
      <c r="Q9" s="29">
        <f t="shared" si="2"/>
        <v>17026.723483363061</v>
      </c>
      <c r="R9" s="29">
        <f t="shared" si="2"/>
        <v>17291.815077170526</v>
      </c>
      <c r="S9" s="29">
        <f t="shared" si="2"/>
        <v>17560.531732861742</v>
      </c>
      <c r="T9" s="29">
        <f t="shared" si="2"/>
        <v>17832.908797642955</v>
      </c>
      <c r="U9" s="29">
        <f t="shared" si="2"/>
        <v>18108.98150465079</v>
      </c>
      <c r="V9" s="29">
        <f t="shared" si="2"/>
        <v>18388.784952573187</v>
      </c>
      <c r="W9" s="29">
        <f t="shared" si="2"/>
        <v>18672.35408446478</v>
      </c>
      <c r="X9" s="29">
        <f t="shared" si="2"/>
        <v>18959.723665731737</v>
      </c>
      <c r="Y9" s="29">
        <f t="shared" si="2"/>
        <v>19250.928261260651</v>
      </c>
      <c r="Z9" s="29">
        <f t="shared" si="2"/>
        <v>19546.002211665193</v>
      </c>
      <c r="AA9" s="29">
        <f t="shared" si="2"/>
        <v>19844.979608623507</v>
      </c>
      <c r="AB9" s="29">
        <f t="shared" si="2"/>
        <v>20147.894269278731</v>
      </c>
      <c r="AC9" s="29">
        <f t="shared" si="2"/>
        <v>20454.779709674072</v>
      </c>
      <c r="AD9" s="29">
        <f t="shared" si="2"/>
        <v>20765.669117193262</v>
      </c>
      <c r="AE9" s="29">
        <f t="shared" si="2"/>
        <v>21080.595321976289</v>
      </c>
      <c r="AF9" s="29">
        <f t="shared" si="2"/>
        <v>21399.590767279529</v>
      </c>
      <c r="AG9" s="29">
        <f t="shared" si="2"/>
        <v>21722.687478748507</v>
      </c>
      <c r="AH9" s="29">
        <f t="shared" si="2"/>
        <v>22049.917032570822</v>
      </c>
      <c r="AI9" s="29">
        <f t="shared" si="2"/>
        <v>22381.310522475535</v>
      </c>
      <c r="AJ9" s="29">
        <f t="shared" si="2"/>
        <v>22716.898525544882</v>
      </c>
      <c r="AK9" s="29">
        <f t="shared" si="2"/>
        <v>23056.711066802738</v>
      </c>
      <c r="AL9" s="29">
        <f t="shared" si="2"/>
        <v>23400.777582543655</v>
      </c>
      <c r="AM9" s="29">
        <f t="shared" si="2"/>
        <v>23749.126882365228</v>
      </c>
      <c r="AN9" s="29">
        <f t="shared" si="2"/>
        <v>24101.787109865407</v>
      </c>
      <c r="AO9" s="29">
        <f t="shared" si="2"/>
        <v>24607.924639172579</v>
      </c>
      <c r="AP9" s="29">
        <f t="shared" si="2"/>
        <v>25124.691056595202</v>
      </c>
      <c r="AQ9" s="29">
        <f t="shared" si="2"/>
        <v>25652.309568783694</v>
      </c>
      <c r="AS9" s="29"/>
      <c r="AT9" s="29"/>
      <c r="AU9" s="29"/>
    </row>
    <row r="10" spans="1:47 16384:16384" x14ac:dyDescent="0.25">
      <c r="A10" s="29" t="s">
        <v>259</v>
      </c>
      <c r="B10" s="29">
        <f>B5/292</f>
        <v>65400.613013698632</v>
      </c>
      <c r="C10" s="29">
        <f t="shared" si="2"/>
        <v>66780.821917808222</v>
      </c>
      <c r="D10" s="29">
        <f t="shared" si="2"/>
        <v>68150.684931506854</v>
      </c>
      <c r="E10" s="29">
        <f t="shared" si="2"/>
        <v>69520.547945205486</v>
      </c>
      <c r="F10" s="29">
        <f t="shared" si="2"/>
        <v>70890.410958904104</v>
      </c>
      <c r="G10" s="29">
        <f t="shared" si="2"/>
        <v>72260.273972602736</v>
      </c>
      <c r="H10" s="29">
        <f t="shared" si="2"/>
        <v>73630.136986301368</v>
      </c>
      <c r="I10" s="29">
        <f t="shared" si="2"/>
        <v>75342.465753424651</v>
      </c>
      <c r="J10" s="29">
        <f t="shared" si="2"/>
        <v>77054.794520547948</v>
      </c>
      <c r="K10" s="29">
        <f t="shared" si="2"/>
        <v>78767.123287671231</v>
      </c>
      <c r="L10" s="29">
        <f t="shared" si="2"/>
        <v>80479.452054794514</v>
      </c>
      <c r="M10" s="29">
        <f t="shared" si="2"/>
        <v>82191.780821917811</v>
      </c>
      <c r="N10" s="29">
        <f t="shared" si="2"/>
        <v>83904.109589041094</v>
      </c>
      <c r="O10" s="29">
        <f t="shared" si="2"/>
        <v>85616.438356164377</v>
      </c>
      <c r="P10" s="29">
        <f t="shared" si="2"/>
        <v>87328.767123287675</v>
      </c>
      <c r="Q10" s="29">
        <f t="shared" si="2"/>
        <v>89041.095890410958</v>
      </c>
      <c r="R10" s="29">
        <f t="shared" si="2"/>
        <v>90753.42465753424</v>
      </c>
      <c r="S10" s="29">
        <f t="shared" si="2"/>
        <v>92808.219178082189</v>
      </c>
      <c r="T10" s="29">
        <f t="shared" si="2"/>
        <v>94863.013698630137</v>
      </c>
      <c r="U10" s="29">
        <f t="shared" si="2"/>
        <v>96917.808219178085</v>
      </c>
      <c r="V10" s="29">
        <f t="shared" si="2"/>
        <v>98972.602739726033</v>
      </c>
      <c r="W10" s="29">
        <f t="shared" si="2"/>
        <v>101027.39726027397</v>
      </c>
      <c r="X10" s="29">
        <f t="shared" si="2"/>
        <v>103082.19178082192</v>
      </c>
      <c r="Y10" s="29">
        <f t="shared" si="2"/>
        <v>105136.98630136986</v>
      </c>
      <c r="Z10" s="29">
        <f t="shared" si="2"/>
        <v>107191.78082191781</v>
      </c>
      <c r="AA10" s="29">
        <f t="shared" si="2"/>
        <v>109589.04109589041</v>
      </c>
      <c r="AB10" s="29">
        <f t="shared" si="2"/>
        <v>111986.30136986301</v>
      </c>
      <c r="AC10" s="29">
        <f t="shared" si="2"/>
        <v>114383.56164383562</v>
      </c>
      <c r="AD10" s="29">
        <f t="shared" si="2"/>
        <v>116780.82191780822</v>
      </c>
      <c r="AE10" s="29">
        <f t="shared" si="2"/>
        <v>119178.08219178082</v>
      </c>
      <c r="AF10" s="29">
        <f t="shared" si="2"/>
        <v>121575.34246575342</v>
      </c>
      <c r="AG10" s="29">
        <f t="shared" si="2"/>
        <v>123972.60273972603</v>
      </c>
      <c r="AH10" s="29">
        <f t="shared" si="2"/>
        <v>126712.32876712328</v>
      </c>
      <c r="AI10" s="29">
        <f t="shared" si="2"/>
        <v>129452.05479452055</v>
      </c>
      <c r="AJ10" s="29">
        <f t="shared" si="2"/>
        <v>132191.78082191781</v>
      </c>
      <c r="AK10" s="29">
        <f t="shared" si="2"/>
        <v>134931.50684931508</v>
      </c>
      <c r="AL10" s="29">
        <f t="shared" si="2"/>
        <v>137671.23287671234</v>
      </c>
      <c r="AM10" s="29">
        <f t="shared" si="2"/>
        <v>140410.95890410958</v>
      </c>
      <c r="AN10" s="29">
        <f t="shared" si="2"/>
        <v>143493.15068493152</v>
      </c>
      <c r="AO10" s="29">
        <f t="shared" si="2"/>
        <v>146575.34246575343</v>
      </c>
      <c r="AP10" s="29">
        <f t="shared" si="2"/>
        <v>149657.53424657535</v>
      </c>
      <c r="AQ10" s="29">
        <f t="shared" si="2"/>
        <v>152739.72602739726</v>
      </c>
      <c r="AR10" s="25">
        <f>AQ10/B10</f>
        <v>2.3354479260829684</v>
      </c>
      <c r="AS10" s="29"/>
      <c r="AT10" s="29"/>
      <c r="AU10" s="29"/>
    </row>
    <row r="11" spans="1:47 16384:16384" x14ac:dyDescent="0.25">
      <c r="A11" s="29" t="s">
        <v>262</v>
      </c>
      <c r="E11" s="166"/>
      <c r="F11" s="249">
        <v>0.995</v>
      </c>
      <c r="G11" s="249">
        <v>0.99</v>
      </c>
      <c r="H11" s="249">
        <v>0.98499999999999999</v>
      </c>
      <c r="I11" s="249">
        <v>0.98</v>
      </c>
      <c r="J11" s="249">
        <v>0.97499999999999998</v>
      </c>
      <c r="K11" s="249">
        <v>0.97</v>
      </c>
      <c r="L11" s="249">
        <v>0.96499999999999997</v>
      </c>
      <c r="M11" s="249">
        <v>0.96</v>
      </c>
      <c r="N11" s="249">
        <v>0.95499999999999996</v>
      </c>
      <c r="O11" s="249">
        <v>0.95</v>
      </c>
      <c r="P11" s="249">
        <v>0.94499999999999995</v>
      </c>
      <c r="Q11" s="249">
        <v>0.94</v>
      </c>
      <c r="R11" s="249">
        <v>0.93500000000000005</v>
      </c>
      <c r="S11" s="249">
        <v>0.93</v>
      </c>
      <c r="T11" s="249">
        <v>0.92500000000000004</v>
      </c>
      <c r="U11" s="249">
        <v>0.92</v>
      </c>
      <c r="V11" s="249">
        <v>0.91500000000000004</v>
      </c>
      <c r="W11" s="249">
        <v>0.91</v>
      </c>
      <c r="X11" s="249">
        <v>0.90500000000000003</v>
      </c>
      <c r="Y11" s="249">
        <v>0.9</v>
      </c>
      <c r="Z11" s="249">
        <v>0.89500000000000002</v>
      </c>
      <c r="AA11" s="249">
        <v>0.89</v>
      </c>
      <c r="AB11" s="249">
        <v>0.88500000000000001</v>
      </c>
      <c r="AC11" s="249">
        <v>0.88</v>
      </c>
      <c r="AD11" s="249">
        <v>0.875</v>
      </c>
      <c r="AE11" s="249">
        <v>0.87</v>
      </c>
      <c r="AF11" s="249">
        <v>0.86499999999999999</v>
      </c>
      <c r="AG11" s="249">
        <v>0.86</v>
      </c>
      <c r="AH11" s="249">
        <v>0.85499999999999998</v>
      </c>
      <c r="AI11" s="249">
        <v>0.85</v>
      </c>
      <c r="AJ11" s="249">
        <v>0.84499999999999997</v>
      </c>
      <c r="AK11" s="249">
        <v>0.84</v>
      </c>
      <c r="AL11" s="249">
        <v>0.83499999999999996</v>
      </c>
      <c r="AM11" s="249">
        <v>0.83</v>
      </c>
      <c r="AN11" s="249">
        <v>0.82499999999999996</v>
      </c>
      <c r="AO11" s="93">
        <f>AN11</f>
        <v>0.82499999999999996</v>
      </c>
      <c r="AP11" s="93">
        <f>AO11</f>
        <v>0.82499999999999996</v>
      </c>
      <c r="AQ11" s="93">
        <f>AP11</f>
        <v>0.82499999999999996</v>
      </c>
      <c r="AS11" s="93"/>
      <c r="AT11" s="93"/>
      <c r="AU11" s="93"/>
    </row>
    <row r="12" spans="1:47 16384:16384" x14ac:dyDescent="0.25">
      <c r="A12" s="29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</row>
    <row r="13" spans="1:47 16384:16384" x14ac:dyDescent="0.25">
      <c r="A13" t="s">
        <v>202</v>
      </c>
      <c r="B13" s="170">
        <f t="shared" ref="B13:AQ13" si="3">B8-B9</f>
        <v>0</v>
      </c>
      <c r="C13" s="170">
        <f t="shared" si="3"/>
        <v>0</v>
      </c>
      <c r="D13" s="170">
        <f t="shared" si="3"/>
        <v>0</v>
      </c>
      <c r="E13" s="170">
        <f t="shared" si="3"/>
        <v>0</v>
      </c>
      <c r="F13" s="170">
        <f t="shared" si="3"/>
        <v>43.759891099052766</v>
      </c>
      <c r="G13" s="170">
        <f t="shared" si="3"/>
        <v>124.4157830750064</v>
      </c>
      <c r="H13" s="170">
        <f t="shared" si="3"/>
        <v>201.83786960745056</v>
      </c>
      <c r="I13" s="170">
        <f t="shared" si="3"/>
        <v>275.99068627694032</v>
      </c>
      <c r="J13" s="170">
        <f t="shared" si="3"/>
        <v>346.8387052666003</v>
      </c>
      <c r="K13" s="170">
        <f t="shared" si="3"/>
        <v>448.592923681721</v>
      </c>
      <c r="L13" s="170">
        <f t="shared" si="3"/>
        <v>546.97115107248646</v>
      </c>
      <c r="M13" s="170">
        <f t="shared" si="3"/>
        <v>641.93774960281553</v>
      </c>
      <c r="N13" s="170">
        <f t="shared" si="3"/>
        <v>733.45707345955088</v>
      </c>
      <c r="O13" s="170">
        <f t="shared" si="3"/>
        <v>821.49348423370611</v>
      </c>
      <c r="P13" s="170">
        <f t="shared" si="3"/>
        <v>940.25794229371968</v>
      </c>
      <c r="Q13" s="170">
        <f t="shared" si="3"/>
        <v>1055.4682974588577</v>
      </c>
      <c r="R13" s="170">
        <f t="shared" si="3"/>
        <v>1167.0890324185166</v>
      </c>
      <c r="S13" s="170">
        <f t="shared" si="3"/>
        <v>1275.0847054944206</v>
      </c>
      <c r="T13" s="389">
        <f t="shared" si="3"/>
        <v>1413.6665448227977</v>
      </c>
      <c r="U13" s="170">
        <f t="shared" si="3"/>
        <v>1548.5527419245518</v>
      </c>
      <c r="V13" s="170">
        <f t="shared" si="3"/>
        <v>1679.7081981117444</v>
      </c>
      <c r="W13" s="170">
        <f t="shared" si="3"/>
        <v>1807.0979703297417</v>
      </c>
      <c r="X13" s="170">
        <f t="shared" si="3"/>
        <v>1964.9338685148396</v>
      </c>
      <c r="Y13" s="389">
        <f t="shared" si="3"/>
        <v>2118.9347524379773</v>
      </c>
      <c r="Z13" s="170">
        <f t="shared" si="3"/>
        <v>2269.0662814854913</v>
      </c>
      <c r="AA13" s="170">
        <f t="shared" si="3"/>
        <v>2415.294363979232</v>
      </c>
      <c r="AB13" s="170">
        <f t="shared" si="3"/>
        <v>2591.8317581185293</v>
      </c>
      <c r="AC13" s="170">
        <f t="shared" si="3"/>
        <v>2764.3983725177095</v>
      </c>
      <c r="AD13" s="170">
        <f t="shared" si="3"/>
        <v>2932.9610197930415</v>
      </c>
      <c r="AE13" s="170">
        <f t="shared" si="3"/>
        <v>3131.7334451469978</v>
      </c>
      <c r="AF13" s="170">
        <f t="shared" si="3"/>
        <v>3326.4366299807443</v>
      </c>
      <c r="AG13" s="170">
        <f t="shared" si="3"/>
        <v>3517.0385486487539</v>
      </c>
      <c r="AH13" s="170">
        <f t="shared" si="3"/>
        <v>3703.5076249634258</v>
      </c>
      <c r="AI13" s="170">
        <f t="shared" si="3"/>
        <v>3920.0593405381624</v>
      </c>
      <c r="AJ13" s="170">
        <f t="shared" si="3"/>
        <v>4132.4165429482673</v>
      </c>
      <c r="AK13" s="170">
        <f t="shared" si="3"/>
        <v>4340.5492071698645</v>
      </c>
      <c r="AL13" s="170">
        <f t="shared" si="3"/>
        <v>4578.6744722508665</v>
      </c>
      <c r="AM13" s="170">
        <f t="shared" si="3"/>
        <v>4812.5169532512118</v>
      </c>
      <c r="AN13" s="170">
        <f t="shared" si="3"/>
        <v>5076.2950819154139</v>
      </c>
      <c r="AO13" s="170">
        <f t="shared" si="3"/>
        <v>5186.595908772626</v>
      </c>
      <c r="AP13" s="170">
        <f t="shared" si="3"/>
        <v>5286.2678475143875</v>
      </c>
      <c r="AQ13" s="170">
        <f t="shared" si="3"/>
        <v>5409.3342668327459</v>
      </c>
      <c r="AS13" s="170"/>
      <c r="AT13" s="170"/>
      <c r="AU13" s="170"/>
      <c r="XFD13" s="170"/>
    </row>
    <row r="14" spans="1:47 16384:16384" x14ac:dyDescent="0.25">
      <c r="A14" s="29" t="s">
        <v>263</v>
      </c>
      <c r="B14" s="170">
        <f>B13*292</f>
        <v>0</v>
      </c>
      <c r="C14" s="170">
        <f t="shared" ref="C14:AQ14" si="4">C13*292</f>
        <v>0</v>
      </c>
      <c r="D14" s="170">
        <f t="shared" si="4"/>
        <v>0</v>
      </c>
      <c r="E14" s="170">
        <f t="shared" si="4"/>
        <v>0</v>
      </c>
      <c r="F14" s="170">
        <f t="shared" si="4"/>
        <v>12777.888200923408</v>
      </c>
      <c r="G14" s="170">
        <f t="shared" si="4"/>
        <v>36329.408657901869</v>
      </c>
      <c r="H14" s="170">
        <f t="shared" si="4"/>
        <v>58936.657925375563</v>
      </c>
      <c r="I14" s="170">
        <f t="shared" si="4"/>
        <v>80589.280392866582</v>
      </c>
      <c r="J14" s="170">
        <f t="shared" si="4"/>
        <v>101276.90193784729</v>
      </c>
      <c r="K14" s="170">
        <f t="shared" si="4"/>
        <v>130989.13371506253</v>
      </c>
      <c r="L14" s="170">
        <f t="shared" si="4"/>
        <v>159715.57611316605</v>
      </c>
      <c r="M14" s="170">
        <f t="shared" si="4"/>
        <v>187445.82288402214</v>
      </c>
      <c r="N14" s="170">
        <f t="shared" si="4"/>
        <v>214169.46545018884</v>
      </c>
      <c r="O14" s="170">
        <f t="shared" si="4"/>
        <v>239876.0973962422</v>
      </c>
      <c r="P14" s="170">
        <f t="shared" si="4"/>
        <v>274555.31914976612</v>
      </c>
      <c r="Q14" s="170">
        <f t="shared" si="4"/>
        <v>308196.74285798648</v>
      </c>
      <c r="R14" s="170">
        <f t="shared" si="4"/>
        <v>340789.99746620684</v>
      </c>
      <c r="S14" s="170">
        <f t="shared" si="4"/>
        <v>372324.73400437081</v>
      </c>
      <c r="T14" s="170">
        <f t="shared" si="4"/>
        <v>412790.63108825695</v>
      </c>
      <c r="U14" s="170">
        <f t="shared" si="4"/>
        <v>452177.40064196911</v>
      </c>
      <c r="V14" s="170">
        <f t="shared" si="4"/>
        <v>490474.79384862934</v>
      </c>
      <c r="W14" s="170">
        <f t="shared" si="4"/>
        <v>527672.60733628459</v>
      </c>
      <c r="X14" s="170">
        <f t="shared" si="4"/>
        <v>573760.68960633315</v>
      </c>
      <c r="Y14" s="170">
        <f t="shared" si="4"/>
        <v>618728.9477118894</v>
      </c>
      <c r="Z14" s="170">
        <f t="shared" si="4"/>
        <v>662567.35419376346</v>
      </c>
      <c r="AA14" s="170">
        <f t="shared" si="4"/>
        <v>705265.9542819357</v>
      </c>
      <c r="AB14" s="170">
        <f t="shared" si="4"/>
        <v>756814.87337061053</v>
      </c>
      <c r="AC14" s="170">
        <f t="shared" si="4"/>
        <v>807204.32477517123</v>
      </c>
      <c r="AD14" s="170">
        <f t="shared" si="4"/>
        <v>856424.61777956807</v>
      </c>
      <c r="AE14" s="170">
        <f t="shared" si="4"/>
        <v>914466.16598292335</v>
      </c>
      <c r="AF14" s="170">
        <f t="shared" si="4"/>
        <v>971319.49595437734</v>
      </c>
      <c r="AG14" s="170">
        <f t="shared" si="4"/>
        <v>1026975.2562054362</v>
      </c>
      <c r="AH14" s="170">
        <f t="shared" si="4"/>
        <v>1081424.2264893204</v>
      </c>
      <c r="AI14" s="170">
        <f t="shared" si="4"/>
        <v>1144657.3274371433</v>
      </c>
      <c r="AJ14" s="170">
        <f t="shared" si="4"/>
        <v>1206665.6305408941</v>
      </c>
      <c r="AK14" s="170">
        <f t="shared" si="4"/>
        <v>1267440.3684936005</v>
      </c>
      <c r="AL14" s="170">
        <f t="shared" si="4"/>
        <v>1336972.945897253</v>
      </c>
      <c r="AM14" s="170">
        <f t="shared" si="4"/>
        <v>1405254.950349354</v>
      </c>
      <c r="AN14" s="170">
        <f t="shared" si="4"/>
        <v>1482278.1639193008</v>
      </c>
      <c r="AO14" s="170">
        <f t="shared" si="4"/>
        <v>1514486.0053616068</v>
      </c>
      <c r="AP14" s="170">
        <f t="shared" si="4"/>
        <v>1543590.2114742012</v>
      </c>
      <c r="AQ14" s="170">
        <f t="shared" si="4"/>
        <v>1579525.6059151618</v>
      </c>
      <c r="AS14" s="170"/>
      <c r="AT14" s="170"/>
      <c r="AU14" s="170"/>
      <c r="XFD14" s="170"/>
    </row>
    <row r="15" spans="1:47 16384:16384" x14ac:dyDescent="0.25"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</row>
    <row r="16" spans="1:47 16384:16384" x14ac:dyDescent="0.25">
      <c r="A16" t="s">
        <v>204</v>
      </c>
      <c r="B16" s="170"/>
      <c r="C16" s="271">
        <v>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</row>
    <row r="17" spans="1:47" x14ac:dyDescent="0.25">
      <c r="A17" t="s">
        <v>203</v>
      </c>
      <c r="B17" s="170"/>
      <c r="C17" s="170">
        <f>$C$16*C14</f>
        <v>0</v>
      </c>
      <c r="D17" s="170">
        <f t="shared" ref="D17:AQ17" si="5">$C$16*D14</f>
        <v>0</v>
      </c>
      <c r="E17" s="170">
        <f t="shared" si="5"/>
        <v>0</v>
      </c>
      <c r="F17" s="170">
        <f t="shared" si="5"/>
        <v>89445.217406463853</v>
      </c>
      <c r="G17" s="170">
        <f t="shared" si="5"/>
        <v>254305.86060531309</v>
      </c>
      <c r="H17" s="170">
        <f t="shared" si="5"/>
        <v>412556.60547762894</v>
      </c>
      <c r="I17" s="170">
        <f t="shared" si="5"/>
        <v>564124.96275006607</v>
      </c>
      <c r="J17" s="170">
        <f t="shared" si="5"/>
        <v>708938.31356493104</v>
      </c>
      <c r="K17" s="170">
        <f t="shared" si="5"/>
        <v>916923.93600543775</v>
      </c>
      <c r="L17" s="170">
        <f t="shared" si="5"/>
        <v>1118009.0327921624</v>
      </c>
      <c r="M17" s="170">
        <f t="shared" si="5"/>
        <v>1312120.7601881549</v>
      </c>
      <c r="N17" s="170">
        <f t="shared" si="5"/>
        <v>1499186.2581513219</v>
      </c>
      <c r="O17" s="170">
        <f t="shared" si="5"/>
        <v>1679132.6817736954</v>
      </c>
      <c r="P17" s="170">
        <f t="shared" si="5"/>
        <v>1921887.2340483628</v>
      </c>
      <c r="Q17" s="170">
        <f t="shared" si="5"/>
        <v>2157377.2000059052</v>
      </c>
      <c r="R17" s="170">
        <f t="shared" si="5"/>
        <v>2385529.9822634477</v>
      </c>
      <c r="S17" s="170">
        <f t="shared" si="5"/>
        <v>2606273.1380305956</v>
      </c>
      <c r="T17" s="170">
        <f t="shared" si="5"/>
        <v>2889534.4176177988</v>
      </c>
      <c r="U17" s="170">
        <f t="shared" si="5"/>
        <v>3165241.804493784</v>
      </c>
      <c r="V17" s="170">
        <f t="shared" si="5"/>
        <v>3433323.5569404056</v>
      </c>
      <c r="W17" s="170">
        <f t="shared" si="5"/>
        <v>3693708.2513539921</v>
      </c>
      <c r="X17" s="170">
        <f t="shared" si="5"/>
        <v>4016324.8272443321</v>
      </c>
      <c r="Y17" s="170">
        <f t="shared" si="5"/>
        <v>4331102.6339832256</v>
      </c>
      <c r="Z17" s="170">
        <f t="shared" si="5"/>
        <v>4637971.4793563439</v>
      </c>
      <c r="AA17" s="170">
        <f t="shared" si="5"/>
        <v>4936861.6799735501</v>
      </c>
      <c r="AB17" s="170">
        <f t="shared" si="5"/>
        <v>5297704.113594274</v>
      </c>
      <c r="AC17" s="170">
        <f t="shared" si="5"/>
        <v>5650430.2734261984</v>
      </c>
      <c r="AD17" s="170">
        <f t="shared" si="5"/>
        <v>5994972.3244569767</v>
      </c>
      <c r="AE17" s="170">
        <f t="shared" si="5"/>
        <v>6401263.1618804634</v>
      </c>
      <c r="AF17" s="170">
        <f t="shared" si="5"/>
        <v>6799236.4716806412</v>
      </c>
      <c r="AG17" s="170">
        <f t="shared" si="5"/>
        <v>7188826.7934380537</v>
      </c>
      <c r="AH17" s="170">
        <f t="shared" si="5"/>
        <v>7569969.5854252428</v>
      </c>
      <c r="AI17" s="170">
        <f t="shared" si="5"/>
        <v>8012601.2920600027</v>
      </c>
      <c r="AJ17" s="170">
        <f t="shared" si="5"/>
        <v>8446659.4137862585</v>
      </c>
      <c r="AK17" s="170">
        <f t="shared" si="5"/>
        <v>8872082.5794552043</v>
      </c>
      <c r="AL17" s="170">
        <f t="shared" si="5"/>
        <v>9358810.6212807707</v>
      </c>
      <c r="AM17" s="170">
        <f t="shared" si="5"/>
        <v>9836784.6524454784</v>
      </c>
      <c r="AN17" s="170">
        <f t="shared" si="5"/>
        <v>10375947.147435106</v>
      </c>
      <c r="AO17" s="170">
        <f t="shared" si="5"/>
        <v>10601402.037531247</v>
      </c>
      <c r="AP17" s="170">
        <f t="shared" si="5"/>
        <v>10805131.480319409</v>
      </c>
      <c r="AQ17" s="170">
        <f t="shared" si="5"/>
        <v>11056679.241406132</v>
      </c>
      <c r="AS17" s="170"/>
      <c r="AT17" s="170"/>
      <c r="AU17" s="170"/>
    </row>
    <row r="18" spans="1:47" x14ac:dyDescent="0.2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S18" s="170"/>
      <c r="AT18" s="170"/>
      <c r="AU18" s="170"/>
    </row>
    <row r="19" spans="1:47" x14ac:dyDescent="0.25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S19" s="170"/>
      <c r="AT19" s="170"/>
      <c r="AU19" s="170"/>
    </row>
    <row r="20" spans="1:47" x14ac:dyDescent="0.25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S20" s="170"/>
      <c r="AT20" s="170"/>
      <c r="AU20" s="170"/>
    </row>
    <row r="21" spans="1:47" x14ac:dyDescent="0.25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S21" s="170"/>
      <c r="AT21" s="170"/>
      <c r="AU21" s="170"/>
    </row>
    <row r="22" spans="1:47" x14ac:dyDescent="0.25"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47" x14ac:dyDescent="0.25">
      <c r="A23" s="23" t="s">
        <v>191</v>
      </c>
      <c r="C23">
        <v>55000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 t="s">
        <v>200</v>
      </c>
      <c r="T23" s="167">
        <f>T3/294</f>
        <v>19115.646258503402</v>
      </c>
    </row>
    <row r="24" spans="1:47" x14ac:dyDescent="0.25">
      <c r="A24">
        <v>0</v>
      </c>
      <c r="C24">
        <v>105000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W24" s="29"/>
    </row>
    <row r="25" spans="1:47" x14ac:dyDescent="0.25">
      <c r="A25">
        <v>5</v>
      </c>
      <c r="C25">
        <f>C24*6/C23</f>
        <v>11.454545454545455</v>
      </c>
      <c r="D25" t="s">
        <v>260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8" t="s">
        <v>201</v>
      </c>
      <c r="T25" s="167">
        <f>T3-T4</f>
        <v>412790.63108825684</v>
      </c>
    </row>
    <row r="26" spans="1:47" x14ac:dyDescent="0.25">
      <c r="A26">
        <v>10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8" t="s">
        <v>202</v>
      </c>
      <c r="T26" s="167">
        <f>T8-T9</f>
        <v>1413.6665448227977</v>
      </c>
    </row>
    <row r="27" spans="1:47" x14ac:dyDescent="0.25">
      <c r="A27">
        <v>15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47" x14ac:dyDescent="0.25">
      <c r="A28">
        <v>20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47" x14ac:dyDescent="0.25">
      <c r="A29" s="23" t="s">
        <v>261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47" x14ac:dyDescent="0.25">
      <c r="A30" s="390">
        <v>1.0209999999999999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47" x14ac:dyDescent="0.25"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47" x14ac:dyDescent="0.25"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>
        <v>100</v>
      </c>
      <c r="R32" s="166"/>
      <c r="S32" s="166"/>
      <c r="T32" s="166"/>
    </row>
    <row r="33" spans="1:48" x14ac:dyDescent="0.25">
      <c r="A33">
        <v>1.0082259611771267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>
        <v>105</v>
      </c>
      <c r="R33" s="166"/>
      <c r="S33" s="166"/>
      <c r="T33" s="166"/>
    </row>
    <row r="34" spans="1:48" x14ac:dyDescent="0.25"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9">
        <f>Q33/Q32</f>
        <v>1.05</v>
      </c>
      <c r="R34" s="166"/>
      <c r="S34" s="166"/>
      <c r="T34" s="166"/>
    </row>
    <row r="35" spans="1:48" x14ac:dyDescent="0.25"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48" x14ac:dyDescent="0.25"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48" x14ac:dyDescent="0.25"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48" x14ac:dyDescent="0.25"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48" x14ac:dyDescent="0.25"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48" x14ac:dyDescent="0.25"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48" x14ac:dyDescent="0.25"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48" x14ac:dyDescent="0.25"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48" x14ac:dyDescent="0.25">
      <c r="E43" s="166"/>
      <c r="F43" s="340">
        <f>F2</f>
        <v>2022</v>
      </c>
      <c r="G43" s="340">
        <f t="shared" ref="G43:AS43" si="6">G2</f>
        <v>2023</v>
      </c>
      <c r="H43" s="340">
        <f t="shared" si="6"/>
        <v>2024</v>
      </c>
      <c r="I43" s="340">
        <f t="shared" si="6"/>
        <v>2025</v>
      </c>
      <c r="J43" s="340">
        <f t="shared" si="6"/>
        <v>2026</v>
      </c>
      <c r="K43" s="340">
        <f t="shared" si="6"/>
        <v>2027</v>
      </c>
      <c r="L43" s="340">
        <f t="shared" si="6"/>
        <v>2028</v>
      </c>
      <c r="M43" s="340">
        <f t="shared" si="6"/>
        <v>2029</v>
      </c>
      <c r="N43" s="340">
        <f t="shared" si="6"/>
        <v>2030</v>
      </c>
      <c r="O43" s="340">
        <f t="shared" si="6"/>
        <v>2031</v>
      </c>
      <c r="P43" s="340">
        <f t="shared" si="6"/>
        <v>2032</v>
      </c>
      <c r="Q43" s="340">
        <f t="shared" si="6"/>
        <v>2033</v>
      </c>
      <c r="R43" s="340">
        <f t="shared" si="6"/>
        <v>2034</v>
      </c>
      <c r="S43" s="340">
        <f t="shared" si="6"/>
        <v>2035</v>
      </c>
      <c r="T43" s="340">
        <f t="shared" si="6"/>
        <v>2036</v>
      </c>
      <c r="U43" s="340">
        <f t="shared" si="6"/>
        <v>2037</v>
      </c>
      <c r="V43" s="340">
        <f t="shared" si="6"/>
        <v>2038</v>
      </c>
      <c r="W43" s="340">
        <f t="shared" si="6"/>
        <v>2039</v>
      </c>
      <c r="X43" s="340">
        <f t="shared" si="6"/>
        <v>2040</v>
      </c>
      <c r="Y43" s="340">
        <f t="shared" si="6"/>
        <v>2041</v>
      </c>
      <c r="Z43" s="340">
        <f t="shared" si="6"/>
        <v>2042</v>
      </c>
      <c r="AA43" s="340">
        <f t="shared" si="6"/>
        <v>2043</v>
      </c>
      <c r="AB43" s="340">
        <f t="shared" si="6"/>
        <v>2044</v>
      </c>
      <c r="AC43" s="340">
        <f t="shared" si="6"/>
        <v>2045</v>
      </c>
      <c r="AD43" s="340">
        <f t="shared" si="6"/>
        <v>2046</v>
      </c>
      <c r="AE43" s="340">
        <f t="shared" si="6"/>
        <v>2047</v>
      </c>
      <c r="AF43" s="340">
        <f t="shared" si="6"/>
        <v>2048</v>
      </c>
      <c r="AG43" s="340">
        <f t="shared" si="6"/>
        <v>2049</v>
      </c>
      <c r="AH43" s="340">
        <f t="shared" si="6"/>
        <v>2050</v>
      </c>
      <c r="AI43" s="340">
        <f t="shared" si="6"/>
        <v>2051</v>
      </c>
      <c r="AJ43" s="340">
        <f t="shared" si="6"/>
        <v>2052</v>
      </c>
      <c r="AK43" s="340">
        <f t="shared" si="6"/>
        <v>2053</v>
      </c>
      <c r="AL43" s="340">
        <f t="shared" si="6"/>
        <v>2054</v>
      </c>
      <c r="AM43" s="340">
        <f t="shared" si="6"/>
        <v>2055</v>
      </c>
      <c r="AN43" s="340">
        <f t="shared" si="6"/>
        <v>2056</v>
      </c>
      <c r="AO43" s="340">
        <f t="shared" si="6"/>
        <v>2057</v>
      </c>
      <c r="AP43" s="340">
        <f t="shared" si="6"/>
        <v>2058</v>
      </c>
      <c r="AQ43" s="340">
        <f t="shared" si="6"/>
        <v>0</v>
      </c>
      <c r="AR43" s="340">
        <f t="shared" si="6"/>
        <v>0</v>
      </c>
      <c r="AS43" s="340">
        <f t="shared" si="6"/>
        <v>0</v>
      </c>
      <c r="AT43" s="340">
        <f t="shared" ref="AT43" si="7">AT2</f>
        <v>0</v>
      </c>
      <c r="AU43" s="340"/>
    </row>
    <row r="44" spans="1:48" x14ac:dyDescent="0.25">
      <c r="E44" s="167" t="s">
        <v>338</v>
      </c>
      <c r="F44" s="376">
        <f>F8</f>
        <v>14383.561643835616</v>
      </c>
      <c r="G44" s="376">
        <f t="shared" ref="G44:AS44" si="8">G8</f>
        <v>14691.780821917808</v>
      </c>
      <c r="H44" s="376">
        <f t="shared" si="8"/>
        <v>15000</v>
      </c>
      <c r="I44" s="376">
        <f t="shared" si="8"/>
        <v>15308.219178082192</v>
      </c>
      <c r="J44" s="376">
        <f t="shared" si="8"/>
        <v>15616.438356164384</v>
      </c>
      <c r="K44" s="376">
        <f t="shared" si="8"/>
        <v>15958.904109589041</v>
      </c>
      <c r="L44" s="376">
        <f t="shared" si="8"/>
        <v>16301.369863013699</v>
      </c>
      <c r="M44" s="376">
        <f t="shared" si="8"/>
        <v>16643.835616438355</v>
      </c>
      <c r="N44" s="376">
        <f t="shared" si="8"/>
        <v>16986.301369863013</v>
      </c>
      <c r="O44" s="376">
        <f t="shared" si="8"/>
        <v>17328.767123287671</v>
      </c>
      <c r="P44" s="376">
        <f t="shared" si="8"/>
        <v>17705.479452054795</v>
      </c>
      <c r="Q44" s="376">
        <f t="shared" si="8"/>
        <v>18082.191780821919</v>
      </c>
      <c r="R44" s="376">
        <f t="shared" si="8"/>
        <v>18458.904109589042</v>
      </c>
      <c r="S44" s="376">
        <f t="shared" si="8"/>
        <v>18835.616438356163</v>
      </c>
      <c r="T44" s="376">
        <f t="shared" si="8"/>
        <v>19246.575342465752</v>
      </c>
      <c r="U44" s="376">
        <f t="shared" si="8"/>
        <v>19657.534246575342</v>
      </c>
      <c r="V44" s="376">
        <f t="shared" si="8"/>
        <v>20068.493150684932</v>
      </c>
      <c r="W44" s="376">
        <f t="shared" si="8"/>
        <v>20479.452054794521</v>
      </c>
      <c r="X44" s="376">
        <f t="shared" si="8"/>
        <v>20924.657534246577</v>
      </c>
      <c r="Y44" s="376">
        <f t="shared" si="8"/>
        <v>21369.863013698628</v>
      </c>
      <c r="Z44" s="376">
        <f t="shared" si="8"/>
        <v>21815.068493150684</v>
      </c>
      <c r="AA44" s="376">
        <f t="shared" si="8"/>
        <v>22260.273972602739</v>
      </c>
      <c r="AB44" s="376">
        <f t="shared" si="8"/>
        <v>22739.726027397261</v>
      </c>
      <c r="AC44" s="376">
        <f t="shared" si="8"/>
        <v>23219.178082191782</v>
      </c>
      <c r="AD44" s="376">
        <f t="shared" si="8"/>
        <v>23698.630136986303</v>
      </c>
      <c r="AE44" s="376">
        <f t="shared" si="8"/>
        <v>24212.328767123287</v>
      </c>
      <c r="AF44" s="376">
        <f t="shared" si="8"/>
        <v>24726.027397260274</v>
      </c>
      <c r="AG44" s="376">
        <f t="shared" si="8"/>
        <v>25239.726027397261</v>
      </c>
      <c r="AH44" s="376">
        <f t="shared" si="8"/>
        <v>25753.424657534248</v>
      </c>
      <c r="AI44" s="376">
        <f t="shared" si="8"/>
        <v>26301.369863013697</v>
      </c>
      <c r="AJ44" s="376">
        <f t="shared" si="8"/>
        <v>26849.31506849315</v>
      </c>
      <c r="AK44" s="376">
        <f t="shared" si="8"/>
        <v>27397.260273972603</v>
      </c>
      <c r="AL44" s="376">
        <f t="shared" si="8"/>
        <v>27979.452054794521</v>
      </c>
      <c r="AM44" s="376">
        <f t="shared" si="8"/>
        <v>28561.64383561644</v>
      </c>
      <c r="AN44" s="376">
        <f t="shared" si="8"/>
        <v>29178.082191780821</v>
      </c>
      <c r="AO44" s="376">
        <f t="shared" si="8"/>
        <v>29794.520547945205</v>
      </c>
      <c r="AP44" s="376">
        <f t="shared" si="8"/>
        <v>30410.95890410959</v>
      </c>
      <c r="AQ44" s="376">
        <f t="shared" si="8"/>
        <v>31061.64383561644</v>
      </c>
      <c r="AR44" s="376">
        <f t="shared" si="8"/>
        <v>2017</v>
      </c>
      <c r="AS44" s="376">
        <f t="shared" si="8"/>
        <v>0</v>
      </c>
      <c r="AT44" s="376">
        <f t="shared" ref="AT44" si="9">AT8</f>
        <v>0</v>
      </c>
      <c r="AU44" s="376"/>
      <c r="AV44" s="23"/>
    </row>
    <row r="45" spans="1:48" x14ac:dyDescent="0.25">
      <c r="D45" s="3"/>
      <c r="E45" s="375" t="s">
        <v>339</v>
      </c>
      <c r="F45" s="377">
        <f>F9</f>
        <v>14339.801752736563</v>
      </c>
      <c r="G45" s="377">
        <f t="shared" ref="G45:AS45" si="10">G9</f>
        <v>14567.365038842801</v>
      </c>
      <c r="H45" s="377">
        <f t="shared" si="10"/>
        <v>14798.162130392549</v>
      </c>
      <c r="I45" s="377">
        <f t="shared" si="10"/>
        <v>15032.228491805252</v>
      </c>
      <c r="J45" s="377">
        <f t="shared" si="10"/>
        <v>15269.599650897784</v>
      </c>
      <c r="K45" s="377">
        <f t="shared" si="10"/>
        <v>15510.31118590732</v>
      </c>
      <c r="L45" s="377">
        <f t="shared" si="10"/>
        <v>15754.398711941212</v>
      </c>
      <c r="M45" s="377">
        <f t="shared" si="10"/>
        <v>16001.897866835539</v>
      </c>
      <c r="N45" s="377">
        <f t="shared" si="10"/>
        <v>16252.844296403462</v>
      </c>
      <c r="O45" s="377">
        <f t="shared" si="10"/>
        <v>16507.273639053965</v>
      </c>
      <c r="P45" s="377">
        <f t="shared" si="10"/>
        <v>16765.221509761075</v>
      </c>
      <c r="Q45" s="377">
        <f t="shared" si="10"/>
        <v>17026.723483363061</v>
      </c>
      <c r="R45" s="377">
        <f t="shared" si="10"/>
        <v>17291.815077170526</v>
      </c>
      <c r="S45" s="377">
        <f t="shared" si="10"/>
        <v>17560.531732861742</v>
      </c>
      <c r="T45" s="377">
        <f t="shared" si="10"/>
        <v>17832.908797642955</v>
      </c>
      <c r="U45" s="377">
        <f t="shared" si="10"/>
        <v>18108.98150465079</v>
      </c>
      <c r="V45" s="377">
        <f t="shared" si="10"/>
        <v>18388.784952573187</v>
      </c>
      <c r="W45" s="377">
        <f t="shared" si="10"/>
        <v>18672.35408446478</v>
      </c>
      <c r="X45" s="377">
        <f t="shared" si="10"/>
        <v>18959.723665731737</v>
      </c>
      <c r="Y45" s="377">
        <f t="shared" si="10"/>
        <v>19250.928261260651</v>
      </c>
      <c r="Z45" s="377">
        <f t="shared" si="10"/>
        <v>19546.002211665193</v>
      </c>
      <c r="AA45" s="377">
        <f t="shared" si="10"/>
        <v>19844.979608623507</v>
      </c>
      <c r="AB45" s="377">
        <f t="shared" si="10"/>
        <v>20147.894269278731</v>
      </c>
      <c r="AC45" s="377">
        <f t="shared" si="10"/>
        <v>20454.779709674072</v>
      </c>
      <c r="AD45" s="377">
        <f t="shared" si="10"/>
        <v>20765.669117193262</v>
      </c>
      <c r="AE45" s="377">
        <f t="shared" si="10"/>
        <v>21080.595321976289</v>
      </c>
      <c r="AF45" s="377">
        <f t="shared" si="10"/>
        <v>21399.590767279529</v>
      </c>
      <c r="AG45" s="377">
        <f t="shared" si="10"/>
        <v>21722.687478748507</v>
      </c>
      <c r="AH45" s="377">
        <f t="shared" si="10"/>
        <v>22049.917032570822</v>
      </c>
      <c r="AI45" s="377">
        <f t="shared" si="10"/>
        <v>22381.310522475535</v>
      </c>
      <c r="AJ45" s="377">
        <f t="shared" si="10"/>
        <v>22716.898525544882</v>
      </c>
      <c r="AK45" s="377">
        <f t="shared" si="10"/>
        <v>23056.711066802738</v>
      </c>
      <c r="AL45" s="377">
        <f t="shared" si="10"/>
        <v>23400.777582543655</v>
      </c>
      <c r="AM45" s="377">
        <f t="shared" si="10"/>
        <v>23749.126882365228</v>
      </c>
      <c r="AN45" s="377">
        <f t="shared" si="10"/>
        <v>24101.787109865407</v>
      </c>
      <c r="AO45" s="377">
        <f t="shared" si="10"/>
        <v>24607.924639172579</v>
      </c>
      <c r="AP45" s="377">
        <f t="shared" si="10"/>
        <v>25124.691056595202</v>
      </c>
      <c r="AQ45" s="377">
        <f t="shared" si="10"/>
        <v>25652.309568783694</v>
      </c>
      <c r="AR45" s="377">
        <f t="shared" si="10"/>
        <v>0</v>
      </c>
      <c r="AS45" s="377">
        <f t="shared" si="10"/>
        <v>0</v>
      </c>
      <c r="AT45" s="377">
        <f t="shared" ref="AT45" si="11">AT9</f>
        <v>0</v>
      </c>
      <c r="AU45" s="376"/>
      <c r="AV45" s="23"/>
    </row>
    <row r="46" spans="1:48" x14ac:dyDescent="0.25">
      <c r="E46" s="166" t="s">
        <v>53</v>
      </c>
      <c r="F46" s="29">
        <f t="shared" ref="F46:AS46" si="12">F44-F45</f>
        <v>43.759891099052766</v>
      </c>
      <c r="G46" s="29">
        <f t="shared" si="12"/>
        <v>124.4157830750064</v>
      </c>
      <c r="H46" s="29">
        <f t="shared" si="12"/>
        <v>201.83786960745056</v>
      </c>
      <c r="I46" s="29">
        <f t="shared" si="12"/>
        <v>275.99068627694032</v>
      </c>
      <c r="J46" s="29">
        <f t="shared" si="12"/>
        <v>346.8387052666003</v>
      </c>
      <c r="K46" s="29">
        <f t="shared" si="12"/>
        <v>448.592923681721</v>
      </c>
      <c r="L46" s="29">
        <f t="shared" si="12"/>
        <v>546.97115107248646</v>
      </c>
      <c r="M46" s="29">
        <f t="shared" si="12"/>
        <v>641.93774960281553</v>
      </c>
      <c r="N46" s="29">
        <f t="shared" si="12"/>
        <v>733.45707345955088</v>
      </c>
      <c r="O46" s="29">
        <f t="shared" si="12"/>
        <v>821.49348423370611</v>
      </c>
      <c r="P46" s="29">
        <f t="shared" si="12"/>
        <v>940.25794229371968</v>
      </c>
      <c r="Q46" s="29">
        <f t="shared" si="12"/>
        <v>1055.4682974588577</v>
      </c>
      <c r="R46" s="29">
        <f t="shared" si="12"/>
        <v>1167.0890324185166</v>
      </c>
      <c r="S46" s="29">
        <f t="shared" si="12"/>
        <v>1275.0847054944206</v>
      </c>
      <c r="T46" s="29">
        <f t="shared" si="12"/>
        <v>1413.6665448227977</v>
      </c>
      <c r="U46" s="29">
        <f t="shared" si="12"/>
        <v>1548.5527419245518</v>
      </c>
      <c r="V46" s="29">
        <f t="shared" si="12"/>
        <v>1679.7081981117444</v>
      </c>
      <c r="W46" s="29">
        <f t="shared" si="12"/>
        <v>1807.0979703297417</v>
      </c>
      <c r="X46" s="29">
        <f t="shared" si="12"/>
        <v>1964.9338685148396</v>
      </c>
      <c r="Y46" s="29">
        <f t="shared" si="12"/>
        <v>2118.9347524379773</v>
      </c>
      <c r="Z46" s="29">
        <f t="shared" si="12"/>
        <v>2269.0662814854913</v>
      </c>
      <c r="AA46" s="29">
        <f t="shared" si="12"/>
        <v>2415.294363979232</v>
      </c>
      <c r="AB46" s="29">
        <f t="shared" si="12"/>
        <v>2591.8317581185293</v>
      </c>
      <c r="AC46" s="29">
        <f t="shared" si="12"/>
        <v>2764.3983725177095</v>
      </c>
      <c r="AD46" s="29">
        <f t="shared" si="12"/>
        <v>2932.9610197930415</v>
      </c>
      <c r="AE46" s="29">
        <f t="shared" si="12"/>
        <v>3131.7334451469978</v>
      </c>
      <c r="AF46" s="29">
        <f t="shared" si="12"/>
        <v>3326.4366299807443</v>
      </c>
      <c r="AG46" s="29">
        <f t="shared" si="12"/>
        <v>3517.0385486487539</v>
      </c>
      <c r="AH46" s="29">
        <f t="shared" si="12"/>
        <v>3703.5076249634258</v>
      </c>
      <c r="AI46" s="29">
        <f t="shared" si="12"/>
        <v>3920.0593405381624</v>
      </c>
      <c r="AJ46" s="29">
        <f t="shared" si="12"/>
        <v>4132.4165429482673</v>
      </c>
      <c r="AK46" s="29">
        <f t="shared" si="12"/>
        <v>4340.5492071698645</v>
      </c>
      <c r="AL46" s="29">
        <f t="shared" si="12"/>
        <v>4578.6744722508665</v>
      </c>
      <c r="AM46" s="29">
        <f t="shared" si="12"/>
        <v>4812.5169532512118</v>
      </c>
      <c r="AN46" s="29">
        <f t="shared" si="12"/>
        <v>5076.2950819154139</v>
      </c>
      <c r="AO46" s="29">
        <f t="shared" si="12"/>
        <v>5186.595908772626</v>
      </c>
      <c r="AP46" s="29">
        <f t="shared" si="12"/>
        <v>5286.2678475143875</v>
      </c>
      <c r="AQ46" s="29">
        <f t="shared" si="12"/>
        <v>5409.3342668327459</v>
      </c>
      <c r="AR46" s="29">
        <f t="shared" si="12"/>
        <v>2017</v>
      </c>
      <c r="AS46" s="29">
        <f t="shared" si="12"/>
        <v>0</v>
      </c>
      <c r="AT46" s="29">
        <f>AT44-AT45</f>
        <v>0</v>
      </c>
    </row>
    <row r="47" spans="1:48" x14ac:dyDescent="0.25"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48" x14ac:dyDescent="0.25"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5:20" x14ac:dyDescent="0.25"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  <row r="50" spans="5:20" x14ac:dyDescent="0.25"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</row>
    <row r="51" spans="5:20" x14ac:dyDescent="0.25"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</row>
    <row r="52" spans="5:20" x14ac:dyDescent="0.25"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</row>
    <row r="53" spans="5:20" x14ac:dyDescent="0.25"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</row>
    <row r="54" spans="5:20" x14ac:dyDescent="0.25"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</row>
    <row r="55" spans="5:20" x14ac:dyDescent="0.25"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5:20" x14ac:dyDescent="0.25"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</row>
    <row r="57" spans="5:20" x14ac:dyDescent="0.25"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</row>
    <row r="58" spans="5:20" x14ac:dyDescent="0.25"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</row>
    <row r="59" spans="5:20" x14ac:dyDescent="0.25"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</row>
    <row r="60" spans="5:20" x14ac:dyDescent="0.25"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</row>
    <row r="61" spans="5:20" x14ac:dyDescent="0.25"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</row>
    <row r="62" spans="5:20" x14ac:dyDescent="0.25"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</row>
    <row r="63" spans="5:20" x14ac:dyDescent="0.25"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</row>
    <row r="64" spans="5:20" x14ac:dyDescent="0.25"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5:20" x14ac:dyDescent="0.25"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</row>
    <row r="66" spans="5:20" x14ac:dyDescent="0.25"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</row>
  </sheetData>
  <pageMargins left="0.7" right="0.7" top="0.75" bottom="0.75" header="0.3" footer="0.3"/>
  <pageSetup paperSize="256" scale="61" fitToWidth="2" orientation="landscape" r:id="rId1"/>
  <headerFooter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49"/>
  <sheetViews>
    <sheetView topLeftCell="E514" zoomScale="75" zoomScaleNormal="75" workbookViewId="0">
      <selection activeCell="N521" sqref="N521"/>
    </sheetView>
  </sheetViews>
  <sheetFormatPr defaultRowHeight="15" x14ac:dyDescent="0.25"/>
  <cols>
    <col min="1" max="1" width="47.7109375" customWidth="1"/>
    <col min="2" max="2" width="23.85546875" customWidth="1"/>
    <col min="3" max="3" width="24.5703125" customWidth="1"/>
    <col min="4" max="4" width="35.85546875" customWidth="1"/>
    <col min="5" max="5" width="19.28515625" customWidth="1"/>
    <col min="6" max="6" width="24.140625" customWidth="1"/>
    <col min="7" max="9" width="19.28515625" customWidth="1"/>
    <col min="10" max="16" width="21.42578125" customWidth="1"/>
    <col min="19" max="19" width="9.140625" customWidth="1"/>
  </cols>
  <sheetData>
    <row r="1" spans="1:15" s="13" customFormat="1" x14ac:dyDescent="0.25">
      <c r="A1" s="12" t="s">
        <v>71</v>
      </c>
    </row>
    <row r="2" spans="1:15" s="15" customFormat="1" ht="30.75" customHeight="1" x14ac:dyDescent="0.25">
      <c r="A2" s="570" t="s">
        <v>49</v>
      </c>
      <c r="B2" s="570"/>
      <c r="C2" s="570"/>
      <c r="D2" s="570"/>
      <c r="E2" s="570"/>
      <c r="F2" s="260"/>
      <c r="G2" s="260"/>
      <c r="N2" s="259"/>
      <c r="O2" s="259"/>
    </row>
    <row r="3" spans="1:15" x14ac:dyDescent="0.25">
      <c r="N3" s="69"/>
      <c r="O3" s="69"/>
    </row>
    <row r="4" spans="1:15" ht="45" x14ac:dyDescent="0.25">
      <c r="B4" s="16" t="s">
        <v>50</v>
      </c>
      <c r="C4" s="16" t="s">
        <v>51</v>
      </c>
      <c r="N4" s="69"/>
      <c r="O4" s="69"/>
    </row>
    <row r="5" spans="1:15" x14ac:dyDescent="0.25">
      <c r="N5" s="69"/>
      <c r="O5" s="69"/>
    </row>
    <row r="6" spans="1:15" x14ac:dyDescent="0.25">
      <c r="A6" s="1" t="s">
        <v>52</v>
      </c>
      <c r="B6" s="79">
        <v>0.40138888888888885</v>
      </c>
      <c r="C6" s="79">
        <v>0.84444444444444444</v>
      </c>
      <c r="N6" s="69"/>
      <c r="O6" s="69"/>
    </row>
    <row r="7" spans="1:15" x14ac:dyDescent="0.25">
      <c r="A7" s="1" t="s">
        <v>5</v>
      </c>
      <c r="B7" s="79">
        <v>0.27708333333333335</v>
      </c>
      <c r="C7" s="79">
        <v>0.48958333333333331</v>
      </c>
      <c r="N7" s="69"/>
      <c r="O7" s="69"/>
    </row>
    <row r="8" spans="1:15" x14ac:dyDescent="0.25">
      <c r="A8" t="s">
        <v>53</v>
      </c>
      <c r="B8" s="79">
        <f>B6-B7</f>
        <v>0.1243055555555555</v>
      </c>
      <c r="C8" s="79">
        <f>C6-C7</f>
        <v>0.35486111111111113</v>
      </c>
      <c r="N8" s="69"/>
      <c r="O8" s="69"/>
    </row>
    <row r="9" spans="1:15" x14ac:dyDescent="0.25">
      <c r="A9" s="80" t="s">
        <v>54</v>
      </c>
      <c r="B9" s="81">
        <f>2+(59/60)</f>
        <v>2.9833333333333334</v>
      </c>
      <c r="C9" s="81">
        <f>8+(31/60)</f>
        <v>8.5166666666666675</v>
      </c>
      <c r="N9" s="69"/>
      <c r="O9" s="69"/>
    </row>
    <row r="10" spans="1:15" x14ac:dyDescent="0.25">
      <c r="N10" s="69"/>
      <c r="O10" s="69"/>
    </row>
    <row r="11" spans="1:15" x14ac:dyDescent="0.25">
      <c r="A11" t="s">
        <v>55</v>
      </c>
      <c r="N11" s="69"/>
      <c r="O11" s="69"/>
    </row>
    <row r="12" spans="1:15" x14ac:dyDescent="0.25">
      <c r="B12" s="46" t="s">
        <v>278</v>
      </c>
      <c r="C12" s="46" t="s">
        <v>279</v>
      </c>
      <c r="N12" s="69"/>
      <c r="O12" s="69"/>
    </row>
    <row r="13" spans="1:15" x14ac:dyDescent="0.25">
      <c r="A13" t="s">
        <v>56</v>
      </c>
      <c r="B13">
        <v>76</v>
      </c>
      <c r="N13" s="69"/>
      <c r="O13" s="69"/>
    </row>
    <row r="14" spans="1:15" x14ac:dyDescent="0.25">
      <c r="A14" t="s">
        <v>57</v>
      </c>
      <c r="B14">
        <v>19</v>
      </c>
      <c r="N14" s="69"/>
      <c r="O14" s="69"/>
    </row>
    <row r="15" spans="1:15" x14ac:dyDescent="0.25">
      <c r="N15" s="73"/>
      <c r="O15" s="73"/>
    </row>
    <row r="16" spans="1:15" x14ac:dyDescent="0.25">
      <c r="A16" t="s">
        <v>58</v>
      </c>
      <c r="B16">
        <v>252</v>
      </c>
      <c r="C16">
        <v>52</v>
      </c>
      <c r="N16" s="69"/>
      <c r="O16" s="69"/>
    </row>
    <row r="17" spans="1:15" x14ac:dyDescent="0.25">
      <c r="A17" t="s">
        <v>59</v>
      </c>
      <c r="B17" s="23">
        <v>52</v>
      </c>
      <c r="N17" s="74"/>
      <c r="O17" s="69"/>
    </row>
    <row r="18" spans="1:15" x14ac:dyDescent="0.25">
      <c r="B18" s="23"/>
      <c r="N18" s="76"/>
      <c r="O18" s="69"/>
    </row>
    <row r="19" spans="1:15" x14ac:dyDescent="0.25">
      <c r="B19" s="23"/>
      <c r="N19" s="76"/>
      <c r="O19" s="69"/>
    </row>
    <row r="20" spans="1:15" x14ac:dyDescent="0.25">
      <c r="A20" s="82" t="s">
        <v>60</v>
      </c>
      <c r="B20" s="23"/>
      <c r="N20" s="76"/>
      <c r="O20" s="69"/>
    </row>
    <row r="21" spans="1:15" ht="45" x14ac:dyDescent="0.25">
      <c r="B21" s="16" t="s">
        <v>50</v>
      </c>
      <c r="C21" s="16" t="s">
        <v>51</v>
      </c>
      <c r="D21" s="16" t="s">
        <v>61</v>
      </c>
      <c r="N21" s="76"/>
      <c r="O21" s="69"/>
    </row>
    <row r="22" spans="1:15" x14ac:dyDescent="0.25">
      <c r="A22" t="s">
        <v>62</v>
      </c>
      <c r="B22" s="170">
        <f>(B9*B13*B16)+(B9*B14*B17)</f>
        <v>60084.333333333336</v>
      </c>
      <c r="C22" s="170">
        <f>C9*B13*C16</f>
        <v>33657.866666666669</v>
      </c>
      <c r="D22" s="170">
        <f>B22+C22</f>
        <v>93742.200000000012</v>
      </c>
      <c r="N22" s="76"/>
      <c r="O22" s="69"/>
    </row>
    <row r="23" spans="1:15" x14ac:dyDescent="0.25">
      <c r="A23" t="s">
        <v>63</v>
      </c>
      <c r="B23" s="83">
        <f>D22/60</f>
        <v>1562.3700000000001</v>
      </c>
      <c r="C23" s="83"/>
      <c r="D23" s="83"/>
      <c r="N23" s="76"/>
      <c r="O23" s="69"/>
    </row>
    <row r="24" spans="1:15" x14ac:dyDescent="0.25">
      <c r="B24" s="83"/>
      <c r="C24" s="83"/>
      <c r="D24" s="83"/>
      <c r="N24" s="76"/>
      <c r="O24" s="69"/>
    </row>
    <row r="25" spans="1:15" x14ac:dyDescent="0.25">
      <c r="A25" t="s">
        <v>281</v>
      </c>
      <c r="B25" s="588">
        <v>22.98</v>
      </c>
      <c r="C25" s="84"/>
      <c r="N25" s="76"/>
      <c r="O25" s="69"/>
    </row>
    <row r="26" spans="1:15" x14ac:dyDescent="0.25">
      <c r="A26" t="s">
        <v>64</v>
      </c>
      <c r="B26" s="85">
        <v>0.47199999999999998</v>
      </c>
      <c r="C26" s="84"/>
      <c r="N26" s="76"/>
      <c r="O26" s="69"/>
    </row>
    <row r="27" spans="1:15" x14ac:dyDescent="0.25">
      <c r="A27" t="str">
        <f>A23</f>
        <v>Total Hours Saved</v>
      </c>
      <c r="B27" s="83">
        <f>B23</f>
        <v>1562.3700000000001</v>
      </c>
      <c r="C27" s="84"/>
      <c r="N27" s="76"/>
      <c r="O27" s="69"/>
    </row>
    <row r="28" spans="1:15" x14ac:dyDescent="0.25">
      <c r="A28" t="s">
        <v>280</v>
      </c>
      <c r="B28" s="510">
        <f>($B$25*(1+$B$26))*B23</f>
        <v>52849.602547200004</v>
      </c>
      <c r="C28" s="84"/>
      <c r="N28" s="76"/>
      <c r="O28" s="69"/>
    </row>
    <row r="29" spans="1:15" x14ac:dyDescent="0.25">
      <c r="B29" s="85"/>
      <c r="C29" s="84"/>
      <c r="N29" s="76"/>
      <c r="O29" s="69"/>
    </row>
    <row r="30" spans="1:15" x14ac:dyDescent="0.25">
      <c r="B30" s="85"/>
      <c r="C30" s="84"/>
      <c r="N30" s="76"/>
      <c r="O30" s="69"/>
    </row>
    <row r="31" spans="1:15" x14ac:dyDescent="0.25">
      <c r="B31" s="85"/>
      <c r="C31" s="84"/>
      <c r="N31" s="76"/>
      <c r="O31" s="69"/>
    </row>
    <row r="32" spans="1:15" x14ac:dyDescent="0.25">
      <c r="A32" t="s">
        <v>65</v>
      </c>
      <c r="B32">
        <v>0.75</v>
      </c>
      <c r="C32" s="84" t="s">
        <v>66</v>
      </c>
      <c r="N32" s="76"/>
      <c r="O32" s="69"/>
    </row>
    <row r="33" spans="1:15" x14ac:dyDescent="0.25">
      <c r="A33" t="s">
        <v>336</v>
      </c>
      <c r="B33" s="511">
        <f>C484</f>
        <v>2.56</v>
      </c>
      <c r="C33" t="s">
        <v>276</v>
      </c>
      <c r="N33" s="76"/>
      <c r="O33" s="69"/>
    </row>
    <row r="34" spans="1:15" x14ac:dyDescent="0.25">
      <c r="A34" t="s">
        <v>335</v>
      </c>
      <c r="B34" s="511">
        <f>C485</f>
        <v>1.04</v>
      </c>
      <c r="N34" s="76"/>
      <c r="O34" s="69"/>
    </row>
    <row r="35" spans="1:15" x14ac:dyDescent="0.25">
      <c r="A35" t="s">
        <v>277</v>
      </c>
      <c r="B35" s="511">
        <f>B33-B34</f>
        <v>1.52</v>
      </c>
      <c r="N35" s="76"/>
      <c r="O35" s="69"/>
    </row>
    <row r="36" spans="1:15" x14ac:dyDescent="0.25">
      <c r="B36" s="5"/>
      <c r="N36" s="76"/>
      <c r="O36" s="69"/>
    </row>
    <row r="37" spans="1:15" x14ac:dyDescent="0.25">
      <c r="B37" s="22" t="s">
        <v>283</v>
      </c>
      <c r="C37" s="299" t="s">
        <v>284</v>
      </c>
      <c r="D37" s="299" t="s">
        <v>23</v>
      </c>
      <c r="N37" s="76"/>
      <c r="O37" s="69"/>
    </row>
    <row r="38" spans="1:15" x14ac:dyDescent="0.25">
      <c r="A38" t="s">
        <v>285</v>
      </c>
      <c r="B38" s="170">
        <v>46</v>
      </c>
      <c r="C38">
        <v>47</v>
      </c>
      <c r="D38" s="302">
        <f>B38+C38</f>
        <v>93</v>
      </c>
      <c r="N38" s="76"/>
      <c r="O38" s="69"/>
    </row>
    <row r="39" spans="1:15" x14ac:dyDescent="0.25">
      <c r="A39" t="s">
        <v>286</v>
      </c>
      <c r="B39" s="301">
        <f>B38/(B38+C38)</f>
        <v>0.4946236559139785</v>
      </c>
      <c r="C39" s="300">
        <f>C38/(B38+C38)</f>
        <v>0.5053763440860215</v>
      </c>
      <c r="D39" s="300">
        <f>B39+C39</f>
        <v>1</v>
      </c>
      <c r="N39" s="76"/>
      <c r="O39" s="69"/>
    </row>
    <row r="40" spans="1:15" x14ac:dyDescent="0.25">
      <c r="A40" t="s">
        <v>287</v>
      </c>
      <c r="B40" s="303">
        <v>0.75</v>
      </c>
      <c r="C40">
        <v>0.75</v>
      </c>
      <c r="N40" s="76"/>
      <c r="O40" s="69"/>
    </row>
    <row r="41" spans="1:15" x14ac:dyDescent="0.25">
      <c r="A41" t="s">
        <v>408</v>
      </c>
      <c r="B41" s="509">
        <v>2.56</v>
      </c>
      <c r="C41" s="479">
        <v>1.04</v>
      </c>
      <c r="N41" s="76"/>
      <c r="O41" s="69"/>
    </row>
    <row r="42" spans="1:15" x14ac:dyDescent="0.25">
      <c r="A42" t="s">
        <v>288</v>
      </c>
      <c r="B42" s="83">
        <f>D42*B39</f>
        <v>772.78516129032266</v>
      </c>
      <c r="C42" s="84">
        <f>D42*C39</f>
        <v>789.58483870967746</v>
      </c>
      <c r="D42" s="84">
        <f>B27</f>
        <v>1562.3700000000001</v>
      </c>
      <c r="N42" s="76"/>
      <c r="O42" s="69"/>
    </row>
    <row r="43" spans="1:15" x14ac:dyDescent="0.25">
      <c r="A43" t="s">
        <v>289</v>
      </c>
      <c r="B43" s="304">
        <f>B42*B40*B41</f>
        <v>1483.7475096774194</v>
      </c>
      <c r="C43" s="304">
        <f>C42*C40*C41</f>
        <v>615.87617419354842</v>
      </c>
      <c r="D43" s="112">
        <f>B43+C43</f>
        <v>2099.6236838709679</v>
      </c>
      <c r="N43" s="76"/>
      <c r="O43" s="69"/>
    </row>
    <row r="44" spans="1:15" x14ac:dyDescent="0.25">
      <c r="B44" s="5"/>
      <c r="N44" s="76"/>
      <c r="O44" s="69"/>
    </row>
    <row r="45" spans="1:15" ht="15.75" thickBot="1" x14ac:dyDescent="0.3">
      <c r="A45" s="1" t="s">
        <v>282</v>
      </c>
      <c r="B45" s="5"/>
      <c r="N45" s="76"/>
      <c r="O45" s="69"/>
    </row>
    <row r="46" spans="1:15" x14ac:dyDescent="0.25">
      <c r="A46" s="86" t="s">
        <v>68</v>
      </c>
      <c r="B46" s="87"/>
      <c r="D46" t="s">
        <v>352</v>
      </c>
      <c r="E46">
        <v>117.5</v>
      </c>
      <c r="N46" s="76"/>
      <c r="O46" s="69"/>
    </row>
    <row r="47" spans="1:15" x14ac:dyDescent="0.25">
      <c r="A47" s="88"/>
      <c r="B47" s="89"/>
      <c r="D47" t="s">
        <v>353</v>
      </c>
      <c r="E47">
        <v>251.58799999999999</v>
      </c>
      <c r="N47" s="76"/>
      <c r="O47" s="69"/>
    </row>
    <row r="48" spans="1:15" x14ac:dyDescent="0.25">
      <c r="A48" s="88" t="s">
        <v>69</v>
      </c>
      <c r="B48" s="308">
        <f>B28</f>
        <v>52849.602547200004</v>
      </c>
      <c r="D48" t="s">
        <v>319</v>
      </c>
      <c r="E48" s="587">
        <f>RATE(30,,-E46,E47)</f>
        <v>2.5703258497288287E-2</v>
      </c>
      <c r="N48" s="76"/>
      <c r="O48" s="69"/>
    </row>
    <row r="49" spans="1:15" ht="15.75" thickBot="1" x14ac:dyDescent="0.3">
      <c r="A49" s="90" t="s">
        <v>70</v>
      </c>
      <c r="B49" s="305">
        <f>D43</f>
        <v>2099.6236838709679</v>
      </c>
      <c r="N49" s="76"/>
      <c r="O49" s="69"/>
    </row>
    <row r="50" spans="1:15" s="6" customFormat="1" x14ac:dyDescent="0.25">
      <c r="A50" s="69"/>
      <c r="B50" s="309">
        <f>B48+B49</f>
        <v>54949.22623107097</v>
      </c>
      <c r="N50" s="76"/>
      <c r="O50" s="69"/>
    </row>
    <row r="51" spans="1:15" s="6" customFormat="1" x14ac:dyDescent="0.25">
      <c r="A51" s="69"/>
      <c r="B51" s="72"/>
      <c r="N51" s="76"/>
      <c r="O51" s="69"/>
    </row>
    <row r="52" spans="1:15" s="6" customFormat="1" x14ac:dyDescent="0.25">
      <c r="A52" s="69"/>
      <c r="B52" s="358"/>
      <c r="C52" s="359" t="s">
        <v>317</v>
      </c>
      <c r="D52" s="359" t="s">
        <v>318</v>
      </c>
      <c r="N52" s="76"/>
      <c r="O52" s="69"/>
    </row>
    <row r="53" spans="1:15" s="6" customFormat="1" x14ac:dyDescent="0.25">
      <c r="A53" s="69">
        <v>1</v>
      </c>
      <c r="B53" s="358">
        <v>2018</v>
      </c>
      <c r="C53" s="159">
        <v>0</v>
      </c>
      <c r="D53" s="159">
        <v>0</v>
      </c>
      <c r="N53" s="76"/>
      <c r="O53" s="69"/>
    </row>
    <row r="54" spans="1:15" s="6" customFormat="1" x14ac:dyDescent="0.25">
      <c r="A54" s="69">
        <f t="shared" ref="A54:A71" si="0">A53+1</f>
        <v>2</v>
      </c>
      <c r="B54" s="358">
        <f t="shared" ref="B54:B71" si="1">B53+1</f>
        <v>2019</v>
      </c>
      <c r="C54" s="159">
        <v>0</v>
      </c>
      <c r="D54" s="159">
        <v>0</v>
      </c>
      <c r="N54" s="76"/>
      <c r="O54" s="69"/>
    </row>
    <row r="55" spans="1:15" s="6" customFormat="1" x14ac:dyDescent="0.25">
      <c r="A55" s="69">
        <f t="shared" si="0"/>
        <v>3</v>
      </c>
      <c r="B55" s="358">
        <f t="shared" si="1"/>
        <v>2020</v>
      </c>
      <c r="C55" s="159">
        <f>B47*((1+E47)^5)</f>
        <v>0</v>
      </c>
      <c r="D55" s="159">
        <v>0</v>
      </c>
      <c r="N55" s="76"/>
      <c r="O55" s="69"/>
    </row>
    <row r="56" spans="1:15" s="6" customFormat="1" x14ac:dyDescent="0.25">
      <c r="A56" s="69">
        <f t="shared" si="0"/>
        <v>4</v>
      </c>
      <c r="B56" s="358">
        <f t="shared" si="1"/>
        <v>2021</v>
      </c>
      <c r="C56" s="159">
        <f>B48*((1+E48)^3)</f>
        <v>57030.467434683953</v>
      </c>
      <c r="D56" s="159">
        <f>B49*((1+E48)^3)</f>
        <v>2265.7222449525952</v>
      </c>
      <c r="N56" s="76"/>
      <c r="O56" s="69"/>
    </row>
    <row r="57" spans="1:15" s="6" customFormat="1" x14ac:dyDescent="0.25">
      <c r="A57" s="69">
        <f t="shared" si="0"/>
        <v>5</v>
      </c>
      <c r="B57" s="358">
        <f t="shared" si="1"/>
        <v>2022</v>
      </c>
      <c r="C57" s="159">
        <f t="shared" ref="C57:C92" si="2">C56*(1+$E$48)</f>
        <v>58496.336281378812</v>
      </c>
      <c r="D57" s="159">
        <f t="shared" ref="D57:D92" si="3">D56*(1+$E$48)</f>
        <v>2323.9586894976683</v>
      </c>
      <c r="N57" s="76"/>
      <c r="O57" s="69"/>
    </row>
    <row r="58" spans="1:15" s="6" customFormat="1" x14ac:dyDescent="0.25">
      <c r="A58" s="69">
        <f t="shared" si="0"/>
        <v>6</v>
      </c>
      <c r="B58" s="358">
        <f t="shared" si="1"/>
        <v>2023</v>
      </c>
      <c r="C58" s="159">
        <f t="shared" si="2"/>
        <v>59999.882733963394</v>
      </c>
      <c r="D58" s="159">
        <f t="shared" si="3"/>
        <v>2383.6920004308463</v>
      </c>
      <c r="N58" s="76"/>
      <c r="O58" s="69"/>
    </row>
    <row r="59" spans="1:15" s="6" customFormat="1" x14ac:dyDescent="0.25">
      <c r="A59" s="69">
        <f t="shared" si="0"/>
        <v>7</v>
      </c>
      <c r="B59" s="358">
        <f t="shared" si="1"/>
        <v>2024</v>
      </c>
      <c r="C59" s="159">
        <f t="shared" si="2"/>
        <v>61542.075229681439</v>
      </c>
      <c r="D59" s="159">
        <f t="shared" si="3"/>
        <v>2444.9606520958387</v>
      </c>
      <c r="N59" s="76"/>
      <c r="O59" s="69"/>
    </row>
    <row r="60" spans="1:15" s="6" customFormat="1" x14ac:dyDescent="0.25">
      <c r="A60" s="69">
        <f t="shared" si="0"/>
        <v>8</v>
      </c>
      <c r="B60" s="358">
        <f t="shared" si="1"/>
        <v>2025</v>
      </c>
      <c r="C60" s="159">
        <f t="shared" si="2"/>
        <v>63123.907097769501</v>
      </c>
      <c r="D60" s="159">
        <f t="shared" si="3"/>
        <v>2507.8041077523567</v>
      </c>
      <c r="N60" s="76"/>
      <c r="O60" s="69"/>
    </row>
    <row r="61" spans="1:15" s="6" customFormat="1" x14ac:dyDescent="0.25">
      <c r="A61" s="69">
        <f t="shared" si="0"/>
        <v>9</v>
      </c>
      <c r="B61" s="358">
        <f t="shared" si="1"/>
        <v>2026</v>
      </c>
      <c r="C61" s="159">
        <f t="shared" si="2"/>
        <v>64746.397199262283</v>
      </c>
      <c r="D61" s="159">
        <f t="shared" si="3"/>
        <v>2572.2628449944768</v>
      </c>
      <c r="N61" s="76"/>
      <c r="O61" s="69"/>
    </row>
    <row r="62" spans="1:15" s="6" customFormat="1" x14ac:dyDescent="0.25">
      <c r="A62" s="69">
        <f t="shared" si="0"/>
        <v>10</v>
      </c>
      <c r="B62" s="358">
        <f t="shared" si="1"/>
        <v>2027</v>
      </c>
      <c r="C62" s="159">
        <f t="shared" si="2"/>
        <v>66410.590583243029</v>
      </c>
      <c r="D62" s="159">
        <f t="shared" si="3"/>
        <v>2638.3783818223401</v>
      </c>
      <c r="N62" s="76"/>
      <c r="O62" s="69"/>
    </row>
    <row r="63" spans="1:15" s="6" customFormat="1" x14ac:dyDescent="0.25">
      <c r="A63" s="69">
        <f t="shared" si="0"/>
        <v>11</v>
      </c>
      <c r="B63" s="358">
        <f t="shared" si="1"/>
        <v>2028</v>
      </c>
      <c r="C63" s="159">
        <f t="shared" si="2"/>
        <v>68117.559159961704</v>
      </c>
      <c r="D63" s="159">
        <f t="shared" si="3"/>
        <v>2706.1933033839769</v>
      </c>
      <c r="N63" s="76"/>
      <c r="O63" s="69"/>
    </row>
    <row r="64" spans="1:15" s="6" customFormat="1" x14ac:dyDescent="0.25">
      <c r="A64" s="69">
        <f t="shared" si="0"/>
        <v>12</v>
      </c>
      <c r="B64" s="358">
        <f t="shared" si="1"/>
        <v>2029</v>
      </c>
      <c r="C64" s="159">
        <f t="shared" si="2"/>
        <v>69868.402391254524</v>
      </c>
      <c r="D64" s="159">
        <f t="shared" si="3"/>
        <v>2775.7512894044858</v>
      </c>
      <c r="N64" s="76"/>
      <c r="O64" s="69"/>
    </row>
    <row r="65" spans="1:15" s="6" customFormat="1" x14ac:dyDescent="0.25">
      <c r="A65" s="69">
        <f t="shared" si="0"/>
        <v>13</v>
      </c>
      <c r="B65" s="358">
        <f t="shared" si="1"/>
        <v>2030</v>
      </c>
      <c r="C65" s="159">
        <f t="shared" si="2"/>
        <v>71664.247998709499</v>
      </c>
      <c r="D65" s="159">
        <f t="shared" si="3"/>
        <v>2847.0971423202304</v>
      </c>
      <c r="N65" s="76"/>
      <c r="O65" s="69"/>
    </row>
    <row r="66" spans="1:15" s="6" customFormat="1" x14ac:dyDescent="0.25">
      <c r="A66" s="69">
        <f t="shared" si="0"/>
        <v>14</v>
      </c>
      <c r="B66" s="358">
        <f t="shared" si="1"/>
        <v>2031</v>
      </c>
      <c r="C66" s="159">
        <f t="shared" si="2"/>
        <v>73506.252690034104</v>
      </c>
      <c r="D66" s="159">
        <f t="shared" si="3"/>
        <v>2920.2768161361782</v>
      </c>
      <c r="N66" s="76"/>
      <c r="O66" s="69"/>
    </row>
    <row r="67" spans="1:15" s="6" customFormat="1" x14ac:dyDescent="0.25">
      <c r="A67" s="69">
        <f t="shared" si="0"/>
        <v>15</v>
      </c>
      <c r="B67" s="358">
        <f t="shared" si="1"/>
        <v>2032</v>
      </c>
      <c r="C67" s="159">
        <f t="shared" si="2"/>
        <v>75395.602904093044</v>
      </c>
      <c r="D67" s="159">
        <f t="shared" si="3"/>
        <v>2995.3374460249643</v>
      </c>
      <c r="N67" s="76"/>
      <c r="O67" s="69"/>
    </row>
    <row r="68" spans="1:15" s="6" customFormat="1" x14ac:dyDescent="0.25">
      <c r="A68" s="69">
        <f t="shared" si="0"/>
        <v>16</v>
      </c>
      <c r="B68" s="358">
        <f t="shared" si="1"/>
        <v>2033</v>
      </c>
      <c r="C68" s="159">
        <f t="shared" si="2"/>
        <v>77333.515575095851</v>
      </c>
      <c r="D68" s="159">
        <f t="shared" si="3"/>
        <v>3072.3273786867512</v>
      </c>
      <c r="N68" s="76"/>
      <c r="O68" s="69"/>
    </row>
    <row r="69" spans="1:15" s="6" customFormat="1" x14ac:dyDescent="0.25">
      <c r="A69" s="69">
        <f t="shared" si="0"/>
        <v>17</v>
      </c>
      <c r="B69" s="358">
        <f t="shared" si="1"/>
        <v>2034</v>
      </c>
      <c r="C69" s="159">
        <f t="shared" si="2"/>
        <v>79321.238916426606</v>
      </c>
      <c r="D69" s="159">
        <f t="shared" si="3"/>
        <v>3151.2962034894331</v>
      </c>
      <c r="N69" s="76"/>
      <c r="O69" s="69"/>
    </row>
    <row r="70" spans="1:15" s="6" customFormat="1" x14ac:dyDescent="0.25">
      <c r="A70" s="69">
        <f t="shared" si="0"/>
        <v>18</v>
      </c>
      <c r="B70" s="358">
        <f t="shared" si="1"/>
        <v>2035</v>
      </c>
      <c r="C70" s="159">
        <f t="shared" si="2"/>
        <v>81360.053224620686</v>
      </c>
      <c r="D70" s="159">
        <f t="shared" si="3"/>
        <v>3232.294784409245</v>
      </c>
      <c r="N70" s="76"/>
      <c r="O70" s="69"/>
    </row>
    <row r="71" spans="1:15" s="6" customFormat="1" x14ac:dyDescent="0.25">
      <c r="A71" s="69">
        <f t="shared" si="0"/>
        <v>19</v>
      </c>
      <c r="B71" s="358">
        <f t="shared" si="1"/>
        <v>2036</v>
      </c>
      <c r="C71" s="159">
        <f t="shared" si="2"/>
        <v>83451.271704006242</v>
      </c>
      <c r="D71" s="159">
        <f t="shared" si="3"/>
        <v>3315.3752927923524</v>
      </c>
      <c r="N71" s="76"/>
      <c r="O71" s="69"/>
    </row>
    <row r="72" spans="1:15" s="6" customFormat="1" x14ac:dyDescent="0.25">
      <c r="A72" s="69">
        <f t="shared" ref="A72:A92" si="4">A71+1</f>
        <v>20</v>
      </c>
      <c r="B72" s="358">
        <f t="shared" ref="B72:B92" si="5">B71+1</f>
        <v>2037</v>
      </c>
      <c r="C72" s="159">
        <f t="shared" si="2"/>
        <v>85596.241312541752</v>
      </c>
      <c r="D72" s="159">
        <f t="shared" si="3"/>
        <v>3400.5912409585171</v>
      </c>
      <c r="N72" s="76"/>
      <c r="O72" s="69"/>
    </row>
    <row r="73" spans="1:15" s="6" customFormat="1" x14ac:dyDescent="0.25">
      <c r="A73" s="69">
        <f t="shared" si="4"/>
        <v>21</v>
      </c>
      <c r="B73" s="358">
        <f t="shared" si="5"/>
        <v>2038</v>
      </c>
      <c r="C73" s="159">
        <f t="shared" si="2"/>
        <v>87796.34362939428</v>
      </c>
      <c r="D73" s="159">
        <f t="shared" si="3"/>
        <v>3487.9975166684881</v>
      </c>
      <c r="N73" s="76"/>
      <c r="O73" s="69"/>
    </row>
    <row r="74" spans="1:15" s="6" customFormat="1" x14ac:dyDescent="0.25">
      <c r="A74" s="69">
        <f t="shared" si="4"/>
        <v>22</v>
      </c>
      <c r="B74" s="358">
        <f t="shared" si="5"/>
        <v>2039</v>
      </c>
      <c r="C74" s="159">
        <f t="shared" si="2"/>
        <v>90052.995744817352</v>
      </c>
      <c r="D74" s="159">
        <f t="shared" si="3"/>
        <v>3577.6504184773175</v>
      </c>
      <c r="N74" s="76"/>
      <c r="O74" s="69"/>
    </row>
    <row r="75" spans="1:15" s="6" customFormat="1" x14ac:dyDescent="0.25">
      <c r="A75" s="69">
        <f t="shared" si="4"/>
        <v>23</v>
      </c>
      <c r="B75" s="358">
        <f t="shared" si="5"/>
        <v>2040</v>
      </c>
      <c r="C75" s="159">
        <f t="shared" si="2"/>
        <v>92367.651172901591</v>
      </c>
      <c r="D75" s="159">
        <f t="shared" si="3"/>
        <v>3669.6076919963716</v>
      </c>
      <c r="N75" s="76"/>
      <c r="O75" s="69"/>
    </row>
    <row r="76" spans="1:15" s="6" customFormat="1" x14ac:dyDescent="0.25">
      <c r="A76" s="69">
        <f t="shared" si="4"/>
        <v>24</v>
      </c>
      <c r="B76" s="358">
        <f t="shared" si="5"/>
        <v>2041</v>
      </c>
      <c r="C76" s="159">
        <f t="shared" si="2"/>
        <v>94741.800787786036</v>
      </c>
      <c r="D76" s="159">
        <f t="shared" si="3"/>
        <v>3763.9285670873919</v>
      </c>
      <c r="N76" s="76"/>
      <c r="O76" s="69"/>
    </row>
    <row r="77" spans="1:15" s="6" customFormat="1" x14ac:dyDescent="0.25">
      <c r="A77" s="69">
        <f t="shared" si="4"/>
        <v>25</v>
      </c>
      <c r="B77" s="358">
        <f t="shared" si="5"/>
        <v>2042</v>
      </c>
      <c r="C77" s="159">
        <f t="shared" si="2"/>
        <v>97176.973783933092</v>
      </c>
      <c r="D77" s="159">
        <f t="shared" si="3"/>
        <v>3860.673796012567</v>
      </c>
      <c r="N77" s="76"/>
      <c r="O77" s="69"/>
    </row>
    <row r="78" spans="1:15" s="6" customFormat="1" x14ac:dyDescent="0.25">
      <c r="A78" s="69">
        <f t="shared" si="4"/>
        <v>26</v>
      </c>
      <c r="B78" s="358">
        <f t="shared" si="5"/>
        <v>2043</v>
      </c>
      <c r="C78" s="159">
        <f t="shared" si="2"/>
        <v>99674.738661085736</v>
      </c>
      <c r="D78" s="159">
        <f t="shared" si="3"/>
        <v>3959.9056925651853</v>
      </c>
      <c r="N78" s="76"/>
      <c r="O78" s="69"/>
    </row>
    <row r="79" spans="1:15" s="6" customFormat="1" x14ac:dyDescent="0.25">
      <c r="A79" s="69">
        <f t="shared" si="4"/>
        <v>27</v>
      </c>
      <c r="B79" s="358">
        <f t="shared" si="5"/>
        <v>2044</v>
      </c>
      <c r="C79" s="159">
        <f t="shared" si="2"/>
        <v>102236.70423454128</v>
      </c>
      <c r="D79" s="159">
        <f t="shared" si="3"/>
        <v>4061.6881722060716</v>
      </c>
      <c r="N79" s="76"/>
      <c r="O79" s="69"/>
    </row>
    <row r="80" spans="1:15" s="6" customFormat="1" x14ac:dyDescent="0.25">
      <c r="A80" s="69">
        <f t="shared" si="4"/>
        <v>28</v>
      </c>
      <c r="B80" s="358">
        <f t="shared" si="5"/>
        <v>2045</v>
      </c>
      <c r="C80" s="159">
        <f t="shared" si="2"/>
        <v>104864.5206713925</v>
      </c>
      <c r="D80" s="159">
        <f t="shared" si="3"/>
        <v>4166.0867932316623</v>
      </c>
      <c r="N80" s="76"/>
      <c r="O80" s="69"/>
    </row>
    <row r="81" spans="1:15" s="6" customFormat="1" x14ac:dyDescent="0.25">
      <c r="A81" s="69">
        <f t="shared" si="4"/>
        <v>29</v>
      </c>
      <c r="B81" s="358">
        <f t="shared" si="5"/>
        <v>2046</v>
      </c>
      <c r="C81" s="159">
        <f t="shared" si="2"/>
        <v>107559.88055340353</v>
      </c>
      <c r="D81" s="159">
        <f t="shared" si="3"/>
        <v>4273.1687990002347</v>
      </c>
      <c r="N81" s="76"/>
      <c r="O81" s="69"/>
    </row>
    <row r="82" spans="1:15" s="6" customFormat="1" x14ac:dyDescent="0.25">
      <c r="A82" s="69">
        <f t="shared" si="4"/>
        <v>30</v>
      </c>
      <c r="B82" s="358">
        <f t="shared" si="5"/>
        <v>2047</v>
      </c>
      <c r="C82" s="159">
        <f t="shared" si="2"/>
        <v>110324.51996720511</v>
      </c>
      <c r="D82" s="159">
        <f t="shared" si="3"/>
        <v>4383.003161243485</v>
      </c>
      <c r="N82" s="76"/>
      <c r="O82" s="69"/>
    </row>
    <row r="83" spans="1:15" s="6" customFormat="1" x14ac:dyDescent="0.25">
      <c r="A83" s="69">
        <f t="shared" si="4"/>
        <v>31</v>
      </c>
      <c r="B83" s="358">
        <f t="shared" si="5"/>
        <v>2048</v>
      </c>
      <c r="C83" s="159">
        <f t="shared" si="2"/>
        <v>113160.21962251142</v>
      </c>
      <c r="D83" s="159">
        <f t="shared" si="3"/>
        <v>4495.6606244913582</v>
      </c>
      <c r="N83" s="76"/>
      <c r="O83" s="69"/>
    </row>
    <row r="84" spans="1:15" s="6" customFormat="1" x14ac:dyDescent="0.25">
      <c r="A84" s="69">
        <f t="shared" si="4"/>
        <v>32</v>
      </c>
      <c r="B84" s="358">
        <f t="shared" si="5"/>
        <v>2049</v>
      </c>
      <c r="C84" s="159">
        <f t="shared" si="2"/>
        <v>116068.80599907874</v>
      </c>
      <c r="D84" s="159">
        <f t="shared" si="3"/>
        <v>4611.2137516387402</v>
      </c>
      <c r="N84" s="76"/>
      <c r="O84" s="69"/>
    </row>
    <row r="85" spans="1:15" s="6" customFormat="1" x14ac:dyDescent="0.25">
      <c r="A85" s="69">
        <f t="shared" si="4"/>
        <v>33</v>
      </c>
      <c r="B85" s="358">
        <f t="shared" si="5"/>
        <v>2050</v>
      </c>
      <c r="C85" s="159">
        <f t="shared" si="2"/>
        <v>119052.15252314467</v>
      </c>
      <c r="D85" s="159">
        <f t="shared" si="3"/>
        <v>4729.7369706833615</v>
      </c>
      <c r="N85" s="76"/>
      <c r="O85" s="69"/>
    </row>
    <row r="86" spans="1:15" s="6" customFormat="1" x14ac:dyDescent="0.25">
      <c r="A86" s="69">
        <f t="shared" si="4"/>
        <v>34</v>
      </c>
      <c r="B86" s="358">
        <f t="shared" si="5"/>
        <v>2051</v>
      </c>
      <c r="C86" s="159">
        <f t="shared" si="2"/>
        <v>122112.18077410565</v>
      </c>
      <c r="D86" s="159">
        <f t="shared" si="3"/>
        <v>4851.3066226650171</v>
      </c>
      <c r="N86" s="76"/>
      <c r="O86" s="69"/>
    </row>
    <row r="87" spans="1:15" s="6" customFormat="1" x14ac:dyDescent="0.25">
      <c r="A87" s="69">
        <f t="shared" si="4"/>
        <v>35</v>
      </c>
      <c r="B87" s="358">
        <f t="shared" si="5"/>
        <v>2052</v>
      </c>
      <c r="C87" s="159">
        <f t="shared" si="2"/>
        <v>125250.86172221009</v>
      </c>
      <c r="D87" s="159">
        <f t="shared" si="3"/>
        <v>4976.0010108369825</v>
      </c>
      <c r="N87" s="76"/>
      <c r="O87" s="69"/>
    </row>
    <row r="88" spans="1:15" s="6" customFormat="1" x14ac:dyDescent="0.25">
      <c r="A88" s="69">
        <f t="shared" si="4"/>
        <v>36</v>
      </c>
      <c r="B88" s="358">
        <f t="shared" si="5"/>
        <v>2053</v>
      </c>
      <c r="C88" s="159">
        <f t="shared" si="2"/>
        <v>128470.21699806416</v>
      </c>
      <c r="D88" s="159">
        <f t="shared" si="3"/>
        <v>5103.9004511012936</v>
      </c>
      <c r="N88" s="76"/>
      <c r="O88" s="69"/>
    </row>
    <row r="89" spans="1:15" s="6" customFormat="1" x14ac:dyDescent="0.25">
      <c r="A89" s="69">
        <f t="shared" si="4"/>
        <v>37</v>
      </c>
      <c r="B89" s="358">
        <f t="shared" si="5"/>
        <v>2054</v>
      </c>
      <c r="C89" s="159">
        <f t="shared" si="2"/>
        <v>131772.32019476814</v>
      </c>
      <c r="D89" s="159">
        <f t="shared" si="3"/>
        <v>5235.0873237403766</v>
      </c>
      <c r="N89" s="76"/>
      <c r="O89" s="69"/>
    </row>
    <row r="90" spans="1:15" s="6" customFormat="1" x14ac:dyDescent="0.25">
      <c r="A90" s="69">
        <f t="shared" si="4"/>
        <v>38</v>
      </c>
      <c r="B90" s="358">
        <f t="shared" si="5"/>
        <v>2055</v>
      </c>
      <c r="C90" s="159">
        <f t="shared" si="2"/>
        <v>135159.2982035217</v>
      </c>
      <c r="D90" s="159">
        <f t="shared" si="3"/>
        <v>5369.6461264783529</v>
      </c>
      <c r="N90" s="76"/>
      <c r="O90" s="69"/>
    </row>
    <row r="91" spans="1:15" s="6" customFormat="1" x14ac:dyDescent="0.25">
      <c r="A91" s="69">
        <f t="shared" si="4"/>
        <v>39</v>
      </c>
      <c r="B91" s="358">
        <f t="shared" si="5"/>
        <v>2056</v>
      </c>
      <c r="C91" s="159">
        <f t="shared" si="2"/>
        <v>138633.33258355889</v>
      </c>
      <c r="D91" s="159">
        <f t="shared" si="3"/>
        <v>5507.6635289061887</v>
      </c>
      <c r="N91" s="76"/>
      <c r="O91" s="69"/>
    </row>
    <row r="92" spans="1:15" s="6" customFormat="1" x14ac:dyDescent="0.25">
      <c r="A92" s="69">
        <f t="shared" si="4"/>
        <v>40</v>
      </c>
      <c r="B92" s="358">
        <f t="shared" si="5"/>
        <v>2057</v>
      </c>
      <c r="C92" s="159">
        <f t="shared" si="2"/>
        <v>142196.66096729465</v>
      </c>
      <c r="D92" s="159">
        <f t="shared" si="3"/>
        <v>5649.2284283057515</v>
      </c>
      <c r="N92" s="76"/>
      <c r="O92" s="69"/>
    </row>
    <row r="93" spans="1:15" s="6" customFormat="1" x14ac:dyDescent="0.25">
      <c r="A93" s="69"/>
      <c r="B93" s="72"/>
      <c r="N93" s="76"/>
      <c r="O93" s="69"/>
    </row>
    <row r="94" spans="1:15" s="13" customFormat="1" x14ac:dyDescent="0.25">
      <c r="A94" s="12" t="s">
        <v>72</v>
      </c>
    </row>
    <row r="95" spans="1:15" x14ac:dyDescent="0.25">
      <c r="A95" s="569" t="s">
        <v>73</v>
      </c>
      <c r="B95" s="569"/>
      <c r="C95" s="569"/>
      <c r="D95" s="569"/>
      <c r="E95" t="s">
        <v>290</v>
      </c>
      <c r="F95" s="70"/>
      <c r="G95" s="70"/>
      <c r="H95" s="77"/>
      <c r="I95" s="77"/>
      <c r="J95" s="75"/>
      <c r="K95" s="75"/>
      <c r="L95" s="76"/>
      <c r="M95" s="76"/>
      <c r="N95" s="76"/>
      <c r="O95" s="69"/>
    </row>
    <row r="96" spans="1:15" x14ac:dyDescent="0.25">
      <c r="A96" s="569"/>
      <c r="B96" s="569"/>
      <c r="C96" s="569"/>
      <c r="D96" s="569"/>
      <c r="F96" s="70"/>
      <c r="G96" s="70"/>
      <c r="H96" s="77"/>
      <c r="I96" s="77"/>
      <c r="J96" s="75"/>
      <c r="K96" s="75"/>
      <c r="L96" s="76"/>
      <c r="M96" s="76"/>
      <c r="N96" s="76"/>
      <c r="O96" s="69"/>
    </row>
    <row r="97" spans="1:15" x14ac:dyDescent="0.25">
      <c r="A97" s="91"/>
      <c r="B97" s="91"/>
      <c r="C97" s="91"/>
      <c r="D97" s="91"/>
      <c r="F97" s="70"/>
      <c r="G97" s="70"/>
      <c r="H97" s="77"/>
      <c r="I97" s="77"/>
      <c r="J97" s="75"/>
      <c r="K97" s="75"/>
      <c r="L97" s="76"/>
      <c r="M97" s="76"/>
      <c r="N97" s="76"/>
      <c r="O97" s="69"/>
    </row>
    <row r="98" spans="1:15" x14ac:dyDescent="0.25">
      <c r="B98" s="17" t="s">
        <v>74</v>
      </c>
      <c r="C98" s="17" t="s">
        <v>75</v>
      </c>
      <c r="F98" s="70"/>
      <c r="G98" s="70"/>
      <c r="H98" s="77"/>
      <c r="I98" s="77"/>
      <c r="J98" s="75"/>
      <c r="K98" s="75"/>
      <c r="L98" s="76"/>
      <c r="M98" s="76"/>
      <c r="N98" s="76"/>
      <c r="O98" s="69"/>
    </row>
    <row r="99" spans="1:15" x14ac:dyDescent="0.25">
      <c r="A99" t="s">
        <v>76</v>
      </c>
      <c r="B99">
        <v>7.5</v>
      </c>
      <c r="C99">
        <f>B99*2</f>
        <v>15</v>
      </c>
      <c r="F99" s="70"/>
      <c r="G99" s="70"/>
      <c r="H99" s="77"/>
      <c r="I99" s="77"/>
      <c r="J99" s="75"/>
      <c r="K99" s="75"/>
      <c r="L99" s="76"/>
      <c r="M99" s="76"/>
      <c r="N99" s="76"/>
      <c r="O99" s="69"/>
    </row>
    <row r="100" spans="1:15" x14ac:dyDescent="0.25">
      <c r="A100" t="s">
        <v>77</v>
      </c>
      <c r="B100" s="92">
        <v>0.38</v>
      </c>
      <c r="C100" s="92">
        <f>B100*2</f>
        <v>0.76</v>
      </c>
      <c r="F100" s="70"/>
      <c r="G100" s="70"/>
      <c r="H100" s="77"/>
      <c r="I100" s="77"/>
      <c r="J100" s="75"/>
      <c r="K100" s="75"/>
      <c r="L100" s="76"/>
      <c r="M100" s="76"/>
      <c r="N100" s="76"/>
      <c r="O100" s="69"/>
    </row>
    <row r="101" spans="1:15" x14ac:dyDescent="0.25">
      <c r="E101">
        <f>9200000/(7.3*43560)</f>
        <v>28.931909380228184</v>
      </c>
      <c r="F101" s="70"/>
      <c r="G101" s="70"/>
      <c r="H101" s="77"/>
      <c r="I101" s="77"/>
      <c r="J101" s="75"/>
      <c r="K101" s="75"/>
      <c r="L101" s="76"/>
      <c r="M101" s="76"/>
      <c r="N101" s="76"/>
      <c r="O101" s="69"/>
    </row>
    <row r="102" spans="1:15" x14ac:dyDescent="0.25">
      <c r="F102" s="70"/>
      <c r="G102" s="70"/>
      <c r="H102" s="77"/>
      <c r="I102" s="77"/>
      <c r="J102" s="75"/>
      <c r="K102" s="75"/>
      <c r="L102" s="76"/>
      <c r="M102" s="76"/>
      <c r="N102" s="76"/>
      <c r="O102" s="69"/>
    </row>
    <row r="103" spans="1:15" x14ac:dyDescent="0.25">
      <c r="A103" t="s">
        <v>292</v>
      </c>
      <c r="B103">
        <f>C99</f>
        <v>15</v>
      </c>
      <c r="F103" s="70"/>
      <c r="G103" s="70"/>
      <c r="H103" s="77"/>
      <c r="I103" s="77"/>
      <c r="J103" s="75"/>
      <c r="K103" s="75"/>
      <c r="L103" s="76"/>
      <c r="M103" s="76"/>
      <c r="N103" s="76"/>
      <c r="O103" s="69"/>
    </row>
    <row r="104" spans="1:15" x14ac:dyDescent="0.25">
      <c r="A104" t="s">
        <v>291</v>
      </c>
      <c r="B104" s="92">
        <f>C100</f>
        <v>0.76</v>
      </c>
      <c r="F104" s="70"/>
      <c r="G104" s="70"/>
      <c r="H104" s="77"/>
      <c r="I104" s="77"/>
      <c r="J104" s="75"/>
      <c r="K104" s="75"/>
      <c r="L104" s="76"/>
      <c r="M104" s="76"/>
      <c r="N104" s="76"/>
      <c r="O104" s="69"/>
    </row>
    <row r="105" spans="1:15" x14ac:dyDescent="0.25">
      <c r="A105" t="s">
        <v>406</v>
      </c>
      <c r="B105">
        <v>10</v>
      </c>
      <c r="F105" s="70"/>
      <c r="G105" s="70"/>
      <c r="H105" s="77"/>
      <c r="I105" s="77"/>
      <c r="J105" s="75"/>
      <c r="K105" s="75"/>
      <c r="L105" s="76"/>
      <c r="M105" s="76"/>
      <c r="N105" s="76"/>
      <c r="O105" s="69"/>
    </row>
    <row r="106" spans="1:15" x14ac:dyDescent="0.25">
      <c r="A106" t="s">
        <v>78</v>
      </c>
      <c r="B106" s="6">
        <v>252</v>
      </c>
      <c r="F106" s="70"/>
      <c r="G106" s="70"/>
      <c r="H106" s="77"/>
      <c r="I106" s="77"/>
      <c r="J106" s="75"/>
      <c r="K106" s="75"/>
      <c r="L106" s="76"/>
      <c r="M106" s="76"/>
      <c r="N106" s="76"/>
      <c r="O106" s="69"/>
    </row>
    <row r="107" spans="1:15" x14ac:dyDescent="0.25">
      <c r="A107" t="s">
        <v>79</v>
      </c>
      <c r="B107" s="509">
        <v>1.17</v>
      </c>
      <c r="C107" t="s">
        <v>467</v>
      </c>
      <c r="F107" s="70"/>
      <c r="G107" s="70"/>
      <c r="H107" s="77"/>
      <c r="I107" s="77"/>
      <c r="J107" s="75"/>
      <c r="K107" s="75"/>
      <c r="L107" s="76"/>
      <c r="M107" s="76"/>
      <c r="N107" s="76"/>
      <c r="O107" s="69"/>
    </row>
    <row r="108" spans="1:15" x14ac:dyDescent="0.25">
      <c r="A108" t="s">
        <v>80</v>
      </c>
      <c r="B108" s="509">
        <v>39.06</v>
      </c>
      <c r="C108" t="s">
        <v>467</v>
      </c>
      <c r="F108" s="70"/>
      <c r="G108" s="70"/>
      <c r="H108" s="77"/>
      <c r="I108" s="77"/>
      <c r="J108" s="75"/>
      <c r="K108" s="75"/>
      <c r="L108" s="76"/>
      <c r="M108" s="76"/>
      <c r="N108" s="76"/>
      <c r="O108" s="69"/>
    </row>
    <row r="109" spans="1:15" x14ac:dyDescent="0.25">
      <c r="A109" s="512" t="s">
        <v>81</v>
      </c>
      <c r="B109" s="589">
        <f>(C99*B105*B106)*B107</f>
        <v>44226</v>
      </c>
      <c r="C109" s="68"/>
      <c r="D109" s="68"/>
      <c r="E109" s="68"/>
      <c r="F109" s="70"/>
      <c r="G109" s="70"/>
      <c r="H109" s="77"/>
      <c r="I109" s="77"/>
      <c r="J109" s="75"/>
      <c r="K109" s="75"/>
      <c r="L109" s="76"/>
      <c r="M109" s="76"/>
      <c r="N109" s="76"/>
      <c r="O109" s="69"/>
    </row>
    <row r="110" spans="1:15" x14ac:dyDescent="0.25">
      <c r="A110" s="512" t="s">
        <v>82</v>
      </c>
      <c r="B110" s="589">
        <f>(C100*B105*B106)*B108</f>
        <v>74807.712</v>
      </c>
      <c r="C110" s="68"/>
      <c r="D110" s="68"/>
      <c r="E110" s="68"/>
      <c r="F110" s="70"/>
      <c r="G110" s="70"/>
      <c r="H110" s="77"/>
      <c r="I110" s="77"/>
      <c r="J110" s="75"/>
      <c r="K110" s="75"/>
      <c r="L110" s="76"/>
      <c r="M110" s="76"/>
      <c r="N110" s="76"/>
      <c r="O110" s="69"/>
    </row>
    <row r="111" spans="1:15" x14ac:dyDescent="0.25">
      <c r="A111" s="68" t="s">
        <v>293</v>
      </c>
      <c r="B111" s="71">
        <f>B109+B110</f>
        <v>119033.712</v>
      </c>
      <c r="C111" s="68"/>
      <c r="D111" s="68"/>
      <c r="E111" s="68"/>
      <c r="F111" s="70"/>
      <c r="G111" s="70"/>
      <c r="H111" s="77"/>
      <c r="I111" s="77"/>
      <c r="J111" s="75"/>
      <c r="K111" s="75"/>
      <c r="L111" s="76"/>
      <c r="M111" s="76"/>
      <c r="N111" s="76"/>
      <c r="O111" s="69"/>
    </row>
    <row r="112" spans="1:15" x14ac:dyDescent="0.25">
      <c r="A112" s="572"/>
      <c r="B112" s="572"/>
      <c r="C112" s="572"/>
      <c r="D112" s="572"/>
      <c r="E112" s="572"/>
      <c r="F112" s="70"/>
      <c r="G112" s="70"/>
      <c r="H112" s="77"/>
      <c r="I112" s="77"/>
      <c r="J112" s="75"/>
      <c r="K112" s="75"/>
      <c r="L112" s="76"/>
      <c r="M112" s="76"/>
      <c r="N112" s="76"/>
      <c r="O112" s="69"/>
    </row>
    <row r="113" spans="1:35" x14ac:dyDescent="0.25">
      <c r="A113" s="572"/>
      <c r="B113" s="572"/>
      <c r="C113" s="572"/>
      <c r="D113" s="572"/>
      <c r="E113" s="572"/>
      <c r="F113" s="70"/>
      <c r="G113" s="70"/>
      <c r="H113" s="77"/>
      <c r="I113" s="77"/>
      <c r="J113" s="75"/>
      <c r="K113" s="75"/>
      <c r="L113" s="76"/>
      <c r="M113" s="76"/>
      <c r="N113" s="76"/>
      <c r="O113" s="69"/>
    </row>
    <row r="114" spans="1:35" x14ac:dyDescent="0.25">
      <c r="A114" s="342"/>
      <c r="B114" s="342"/>
      <c r="E114" s="342"/>
      <c r="F114" s="70"/>
      <c r="G114" s="70"/>
      <c r="H114" s="77"/>
      <c r="I114" s="77"/>
      <c r="J114" s="75"/>
      <c r="K114" s="75"/>
      <c r="L114" s="76"/>
      <c r="M114" s="76"/>
      <c r="N114" s="76"/>
      <c r="O114" s="69"/>
    </row>
    <row r="115" spans="1:35" x14ac:dyDescent="0.25">
      <c r="A115" s="366"/>
      <c r="B115" s="366"/>
      <c r="C115" s="370" t="s">
        <v>296</v>
      </c>
      <c r="D115" s="370" t="s">
        <v>320</v>
      </c>
      <c r="E115" s="371"/>
      <c r="F115" s="367"/>
      <c r="G115" s="367"/>
      <c r="H115" s="368"/>
      <c r="I115" s="361"/>
      <c r="J115" s="362"/>
      <c r="K115" s="362"/>
      <c r="L115" s="363"/>
      <c r="M115" s="363"/>
      <c r="N115" s="363"/>
      <c r="O115" s="364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</row>
    <row r="116" spans="1:35" x14ac:dyDescent="0.25">
      <c r="A116" s="366">
        <v>1</v>
      </c>
      <c r="B116" s="366">
        <v>2018</v>
      </c>
      <c r="C116" s="371"/>
      <c r="D116" s="371"/>
      <c r="E116" s="371"/>
      <c r="F116" s="367"/>
      <c r="G116" s="367"/>
      <c r="H116" s="368"/>
      <c r="I116" s="361"/>
      <c r="J116" s="362"/>
      <c r="K116" s="362"/>
      <c r="L116" s="363"/>
      <c r="M116" s="363"/>
      <c r="N116" s="363"/>
      <c r="O116" s="364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</row>
    <row r="117" spans="1:35" x14ac:dyDescent="0.25">
      <c r="A117" s="366">
        <f t="shared" ref="A117:A155" si="6">A116+1</f>
        <v>2</v>
      </c>
      <c r="B117" s="366">
        <f t="shared" ref="B117:B155" si="7">B116+1</f>
        <v>2019</v>
      </c>
      <c r="C117" s="371"/>
      <c r="D117" s="371"/>
      <c r="E117" s="371"/>
      <c r="F117" s="367"/>
      <c r="G117" s="367"/>
      <c r="H117" s="368"/>
      <c r="I117" s="361"/>
      <c r="J117" s="362"/>
      <c r="K117" s="362"/>
      <c r="L117" s="363"/>
      <c r="M117" s="363"/>
      <c r="N117" s="363"/>
      <c r="O117" s="364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</row>
    <row r="118" spans="1:35" x14ac:dyDescent="0.25">
      <c r="A118" s="366">
        <f t="shared" si="6"/>
        <v>3</v>
      </c>
      <c r="B118" s="366">
        <f t="shared" si="7"/>
        <v>2020</v>
      </c>
      <c r="C118" s="371"/>
      <c r="D118" s="371"/>
      <c r="E118" s="371"/>
      <c r="F118" s="367"/>
      <c r="G118" s="367"/>
      <c r="H118" s="368"/>
      <c r="I118" s="361"/>
      <c r="J118" s="362"/>
      <c r="K118" s="362"/>
      <c r="L118" s="363"/>
      <c r="M118" s="363"/>
      <c r="N118" s="363"/>
      <c r="O118" s="364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</row>
    <row r="119" spans="1:35" x14ac:dyDescent="0.25">
      <c r="A119" s="366">
        <f t="shared" si="6"/>
        <v>4</v>
      </c>
      <c r="B119" s="366">
        <f t="shared" si="7"/>
        <v>2021</v>
      </c>
      <c r="C119" s="371">
        <f>B109*((1+E48)^5)</f>
        <v>50209.550988058501</v>
      </c>
      <c r="D119" s="371">
        <f>B110*((1+E48)^5)</f>
        <v>84928.811784108795</v>
      </c>
      <c r="E119" s="371"/>
      <c r="F119" s="367"/>
      <c r="G119" s="367"/>
      <c r="H119" s="368"/>
      <c r="I119" s="361"/>
      <c r="J119" s="362"/>
      <c r="K119" s="362"/>
      <c r="L119" s="363"/>
      <c r="M119" s="363"/>
      <c r="N119" s="363"/>
      <c r="O119" s="364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</row>
    <row r="120" spans="1:35" x14ac:dyDescent="0.25">
      <c r="A120" s="366">
        <f t="shared" si="6"/>
        <v>5</v>
      </c>
      <c r="B120" s="366">
        <f t="shared" si="7"/>
        <v>2022</v>
      </c>
      <c r="C120" s="371">
        <f t="shared" ref="C120:C155" si="8">C119*(1+$E$48)</f>
        <v>51500.100056137344</v>
      </c>
      <c r="D120" s="371">
        <f t="shared" ref="D120:D155" si="9">D119*(1+$E$48)</f>
        <v>87111.758987263282</v>
      </c>
      <c r="E120" s="371"/>
      <c r="F120" s="367"/>
      <c r="G120" s="367"/>
      <c r="H120" s="368"/>
      <c r="I120" s="361"/>
      <c r="J120" s="362"/>
      <c r="K120" s="362"/>
      <c r="L120" s="363"/>
      <c r="M120" s="363"/>
      <c r="N120" s="363"/>
      <c r="O120" s="364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</row>
    <row r="121" spans="1:35" x14ac:dyDescent="0.25">
      <c r="A121" s="366">
        <f t="shared" si="6"/>
        <v>6</v>
      </c>
      <c r="B121" s="366">
        <f t="shared" si="7"/>
        <v>2023</v>
      </c>
      <c r="C121" s="371">
        <f t="shared" si="8"/>
        <v>52823.820440516451</v>
      </c>
      <c r="D121" s="371">
        <f t="shared" si="9"/>
        <v>89350.815046666379</v>
      </c>
      <c r="E121" s="371"/>
      <c r="F121" s="367"/>
      <c r="G121" s="367"/>
      <c r="H121" s="368"/>
      <c r="I121" s="361"/>
      <c r="J121" s="362"/>
      <c r="K121" s="362"/>
      <c r="L121" s="363"/>
      <c r="M121" s="363"/>
      <c r="N121" s="363"/>
      <c r="O121" s="364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</row>
    <row r="122" spans="1:35" x14ac:dyDescent="0.25">
      <c r="A122" s="366">
        <f t="shared" si="6"/>
        <v>7</v>
      </c>
      <c r="B122" s="366">
        <f t="shared" si="7"/>
        <v>2024</v>
      </c>
      <c r="C122" s="371">
        <f t="shared" si="8"/>
        <v>54181.564752113387</v>
      </c>
      <c r="D122" s="371">
        <f t="shared" si="9"/>
        <v>91647.422142754236</v>
      </c>
      <c r="E122" s="371"/>
      <c r="F122" s="367"/>
      <c r="G122" s="367"/>
      <c r="H122" s="368"/>
      <c r="I122" s="361"/>
      <c r="J122" s="362"/>
      <c r="K122" s="362"/>
      <c r="L122" s="363"/>
      <c r="M122" s="363"/>
      <c r="N122" s="363"/>
      <c r="O122" s="364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</row>
    <row r="123" spans="1:35" x14ac:dyDescent="0.25">
      <c r="A123" s="366">
        <f t="shared" si="6"/>
        <v>8</v>
      </c>
      <c r="B123" s="366">
        <f t="shared" si="7"/>
        <v>2025</v>
      </c>
      <c r="C123" s="371">
        <f t="shared" si="8"/>
        <v>55574.20751672452</v>
      </c>
      <c r="D123" s="371">
        <f t="shared" si="9"/>
        <v>94003.059524699551</v>
      </c>
      <c r="E123" s="371"/>
      <c r="F123" s="367"/>
      <c r="G123" s="367"/>
      <c r="H123" s="368"/>
      <c r="I123" s="361"/>
      <c r="J123" s="362"/>
      <c r="K123" s="362"/>
      <c r="L123" s="363"/>
      <c r="M123" s="363"/>
      <c r="N123" s="363"/>
      <c r="O123" s="364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</row>
    <row r="124" spans="1:35" x14ac:dyDescent="0.25">
      <c r="A124" s="366">
        <f t="shared" si="6"/>
        <v>9</v>
      </c>
      <c r="B124" s="366">
        <f t="shared" si="7"/>
        <v>2026</v>
      </c>
      <c r="C124" s="371">
        <f t="shared" si="8"/>
        <v>57002.645738308835</v>
      </c>
      <c r="D124" s="371">
        <f t="shared" si="9"/>
        <v>96419.244463198876</v>
      </c>
      <c r="E124" s="371"/>
      <c r="F124" s="367"/>
      <c r="G124" s="367"/>
      <c r="H124" s="368"/>
      <c r="I124" s="361"/>
      <c r="J124" s="362"/>
      <c r="K124" s="362"/>
      <c r="L124" s="363"/>
      <c r="M124" s="363"/>
      <c r="N124" s="363"/>
      <c r="O124" s="364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</row>
    <row r="125" spans="1:35" x14ac:dyDescent="0.25">
      <c r="A125" s="366">
        <f t="shared" si="6"/>
        <v>10</v>
      </c>
      <c r="B125" s="366">
        <f t="shared" si="7"/>
        <v>2027</v>
      </c>
      <c r="C125" s="371">
        <f t="shared" si="8"/>
        <v>58467.799476749933</v>
      </c>
      <c r="D125" s="371">
        <f t="shared" si="9"/>
        <v>98897.533227749707</v>
      </c>
      <c r="E125" s="371"/>
      <c r="F125" s="367"/>
      <c r="G125" s="367"/>
      <c r="H125" s="368"/>
      <c r="I125" s="361"/>
      <c r="J125" s="362"/>
      <c r="K125" s="362"/>
      <c r="L125" s="363"/>
      <c r="M125" s="363"/>
      <c r="N125" s="363"/>
      <c r="O125" s="364"/>
      <c r="P125" s="365"/>
      <c r="Q125" s="365"/>
      <c r="R125" s="365"/>
      <c r="S125" s="365"/>
      <c r="T125" s="365"/>
      <c r="U125" s="365"/>
      <c r="V125" s="365"/>
      <c r="W125" s="365"/>
      <c r="X125" s="365"/>
      <c r="Y125" s="365"/>
      <c r="Z125" s="365"/>
      <c r="AA125" s="365"/>
      <c r="AB125" s="365"/>
      <c r="AC125" s="365"/>
      <c r="AD125" s="365"/>
      <c r="AE125" s="365"/>
      <c r="AF125" s="365"/>
      <c r="AG125" s="365"/>
      <c r="AH125" s="365"/>
      <c r="AI125" s="365"/>
    </row>
    <row r="126" spans="1:35" x14ac:dyDescent="0.25">
      <c r="A126" s="366">
        <f t="shared" si="6"/>
        <v>11</v>
      </c>
      <c r="B126" s="366">
        <f t="shared" si="7"/>
        <v>2028</v>
      </c>
      <c r="C126" s="371">
        <f t="shared" si="8"/>
        <v>59970.612440468452</v>
      </c>
      <c r="D126" s="371">
        <f t="shared" si="9"/>
        <v>101439.52208904672</v>
      </c>
      <c r="E126" s="371"/>
      <c r="F126" s="367"/>
      <c r="G126" s="367"/>
      <c r="H126" s="368"/>
      <c r="I126" s="361"/>
      <c r="J126" s="362"/>
      <c r="K126" s="362"/>
      <c r="L126" s="363"/>
      <c r="M126" s="363"/>
      <c r="N126" s="363"/>
      <c r="O126" s="364"/>
      <c r="P126" s="365"/>
      <c r="Q126" s="365"/>
      <c r="R126" s="365"/>
      <c r="S126" s="365"/>
      <c r="T126" s="365"/>
      <c r="U126" s="365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365"/>
      <c r="AI126" s="365"/>
    </row>
    <row r="127" spans="1:35" x14ac:dyDescent="0.25">
      <c r="A127" s="366">
        <f t="shared" si="6"/>
        <v>12</v>
      </c>
      <c r="B127" s="366">
        <f t="shared" si="7"/>
        <v>2029</v>
      </c>
      <c r="C127" s="371">
        <f t="shared" si="8"/>
        <v>61512.052594266504</v>
      </c>
      <c r="D127" s="371">
        <f t="shared" si="9"/>
        <v>104046.84834714286</v>
      </c>
      <c r="E127" s="371"/>
      <c r="F127" s="367"/>
      <c r="G127" s="367"/>
      <c r="H127" s="368"/>
      <c r="I127" s="361"/>
      <c r="J127" s="362"/>
      <c r="K127" s="362"/>
      <c r="L127" s="363"/>
      <c r="M127" s="363"/>
      <c r="N127" s="363"/>
      <c r="O127" s="364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/>
      <c r="AG127" s="365"/>
      <c r="AH127" s="365"/>
      <c r="AI127" s="365"/>
    </row>
    <row r="128" spans="1:35" x14ac:dyDescent="0.25">
      <c r="A128" s="366">
        <f t="shared" si="6"/>
        <v>13</v>
      </c>
      <c r="B128" s="366">
        <f t="shared" si="7"/>
        <v>2030</v>
      </c>
      <c r="C128" s="371">
        <f t="shared" si="8"/>
        <v>63093.112782795732</v>
      </c>
      <c r="D128" s="371">
        <f t="shared" si="9"/>
        <v>106721.19138603762</v>
      </c>
      <c r="E128" s="371"/>
      <c r="F128" s="367"/>
      <c r="G128" s="367"/>
      <c r="H128" s="368"/>
      <c r="I128" s="361"/>
      <c r="J128" s="362"/>
      <c r="K128" s="362"/>
      <c r="L128" s="363"/>
      <c r="M128" s="363"/>
      <c r="N128" s="363"/>
      <c r="O128" s="364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</row>
    <row r="129" spans="1:35" x14ac:dyDescent="0.25">
      <c r="A129" s="366">
        <f t="shared" si="6"/>
        <v>14</v>
      </c>
      <c r="B129" s="366">
        <f t="shared" si="7"/>
        <v>2031</v>
      </c>
      <c r="C129" s="371">
        <f t="shared" si="8"/>
        <v>64714.811370050491</v>
      </c>
      <c r="D129" s="371">
        <f t="shared" si="9"/>
        <v>109464.27375537153</v>
      </c>
      <c r="E129" s="371"/>
      <c r="F129" s="367"/>
      <c r="G129" s="367"/>
      <c r="H129" s="368"/>
      <c r="I129" s="361"/>
      <c r="J129" s="362"/>
      <c r="K129" s="362"/>
      <c r="L129" s="363"/>
      <c r="M129" s="363"/>
      <c r="N129" s="363"/>
      <c r="O129" s="364"/>
      <c r="P129" s="365"/>
      <c r="Q129" s="365"/>
      <c r="R129" s="365"/>
      <c r="S129" s="365"/>
      <c r="T129" s="365"/>
      <c r="U129" s="365"/>
      <c r="V129" s="365"/>
      <c r="W129" s="365"/>
      <c r="X129" s="365"/>
      <c r="Y129" s="365"/>
      <c r="Z129" s="365"/>
      <c r="AA129" s="365"/>
      <c r="AB129" s="365"/>
      <c r="AC129" s="365"/>
      <c r="AD129" s="365"/>
      <c r="AE129" s="365"/>
      <c r="AF129" s="365"/>
      <c r="AG129" s="365"/>
      <c r="AH129" s="365"/>
      <c r="AI129" s="365"/>
    </row>
    <row r="130" spans="1:35" x14ac:dyDescent="0.25">
      <c r="A130" s="366">
        <f t="shared" si="6"/>
        <v>15</v>
      </c>
      <c r="B130" s="366">
        <f t="shared" si="7"/>
        <v>2032</v>
      </c>
      <c r="C130" s="371">
        <f t="shared" si="8"/>
        <v>66378.192895298154</v>
      </c>
      <c r="D130" s="371">
        <f t="shared" si="9"/>
        <v>112277.86227992376</v>
      </c>
      <c r="E130" s="371"/>
      <c r="F130" s="367"/>
      <c r="G130" s="367"/>
      <c r="H130" s="368"/>
      <c r="I130" s="361"/>
      <c r="J130" s="362"/>
      <c r="K130" s="362"/>
      <c r="L130" s="363"/>
      <c r="M130" s="363"/>
      <c r="N130" s="363"/>
      <c r="O130" s="364"/>
      <c r="P130" s="365"/>
      <c r="Q130" s="365"/>
      <c r="R130" s="365"/>
      <c r="S130" s="365"/>
      <c r="T130" s="365"/>
      <c r="U130" s="365"/>
      <c r="V130" s="365"/>
      <c r="W130" s="365"/>
      <c r="X130" s="365"/>
      <c r="Y130" s="365"/>
      <c r="Z130" s="365"/>
      <c r="AA130" s="365"/>
      <c r="AB130" s="365"/>
      <c r="AC130" s="365"/>
      <c r="AD130" s="365"/>
      <c r="AE130" s="365"/>
      <c r="AF130" s="365"/>
      <c r="AG130" s="365"/>
      <c r="AH130" s="365"/>
      <c r="AI130" s="365"/>
    </row>
    <row r="131" spans="1:35" x14ac:dyDescent="0.25">
      <c r="A131" s="366">
        <f t="shared" si="6"/>
        <v>16</v>
      </c>
      <c r="B131" s="366">
        <f t="shared" si="7"/>
        <v>2033</v>
      </c>
      <c r="C131" s="371">
        <f t="shared" si="8"/>
        <v>68084.328745868872</v>
      </c>
      <c r="D131" s="371">
        <f t="shared" si="9"/>
        <v>115163.76919762758</v>
      </c>
      <c r="E131" s="371"/>
      <c r="F131" s="367"/>
      <c r="G131" s="367"/>
      <c r="H131" s="368"/>
      <c r="I131" s="361"/>
      <c r="J131" s="362"/>
      <c r="K131" s="362"/>
      <c r="L131" s="363"/>
      <c r="M131" s="363"/>
      <c r="N131" s="363"/>
      <c r="O131" s="364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</row>
    <row r="132" spans="1:35" x14ac:dyDescent="0.25">
      <c r="A132" s="366">
        <f t="shared" si="6"/>
        <v>17</v>
      </c>
      <c r="B132" s="366">
        <f t="shared" si="7"/>
        <v>2034</v>
      </c>
      <c r="C132" s="371">
        <f t="shared" si="8"/>
        <v>69834.317847238301</v>
      </c>
      <c r="D132" s="371">
        <f t="shared" si="9"/>
        <v>118123.85332683625</v>
      </c>
      <c r="E132" s="371"/>
      <c r="F132" s="367"/>
      <c r="G132" s="367"/>
      <c r="H132" s="368"/>
      <c r="I132" s="361"/>
      <c r="J132" s="362"/>
      <c r="K132" s="362"/>
      <c r="L132" s="363"/>
      <c r="M132" s="363"/>
      <c r="N132" s="363"/>
      <c r="O132" s="364"/>
      <c r="P132" s="365"/>
      <c r="Q132" s="365"/>
      <c r="R132" s="365"/>
      <c r="S132" s="365"/>
      <c r="T132" s="365"/>
      <c r="U132" s="365"/>
      <c r="V132" s="365"/>
      <c r="W132" s="365"/>
      <c r="X132" s="365"/>
      <c r="Y132" s="365"/>
      <c r="Z132" s="365"/>
      <c r="AA132" s="365"/>
      <c r="AB132" s="365"/>
      <c r="AC132" s="365"/>
      <c r="AD132" s="365"/>
      <c r="AE132" s="365"/>
      <c r="AF132" s="365"/>
      <c r="AG132" s="365"/>
      <c r="AH132" s="365"/>
      <c r="AI132" s="365"/>
    </row>
    <row r="133" spans="1:35" x14ac:dyDescent="0.25">
      <c r="A133" s="366">
        <f t="shared" si="6"/>
        <v>18</v>
      </c>
      <c r="B133" s="366">
        <f t="shared" si="7"/>
        <v>2035</v>
      </c>
      <c r="C133" s="371">
        <f t="shared" si="8"/>
        <v>71629.287370847655</v>
      </c>
      <c r="D133" s="371">
        <f t="shared" si="9"/>
        <v>121160.02126359168</v>
      </c>
      <c r="E133" s="371"/>
      <c r="F133" s="367"/>
      <c r="G133" s="367"/>
      <c r="H133" s="368"/>
      <c r="I133" s="361"/>
      <c r="J133" s="362"/>
      <c r="K133" s="362"/>
      <c r="L133" s="363"/>
      <c r="M133" s="363"/>
      <c r="N133" s="363"/>
      <c r="O133" s="364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5"/>
      <c r="AI133" s="365"/>
    </row>
    <row r="134" spans="1:35" x14ac:dyDescent="0.25">
      <c r="A134" s="366">
        <f t="shared" si="6"/>
        <v>19</v>
      </c>
      <c r="B134" s="366">
        <f t="shared" si="7"/>
        <v>2036</v>
      </c>
      <c r="C134" s="371">
        <f t="shared" si="8"/>
        <v>73470.393460117091</v>
      </c>
      <c r="D134" s="371">
        <f t="shared" si="9"/>
        <v>124274.22860966672</v>
      </c>
      <c r="E134" s="371"/>
      <c r="F134" s="367"/>
      <c r="G134" s="367"/>
      <c r="H134" s="368"/>
      <c r="I134" s="361"/>
      <c r="J134" s="362"/>
      <c r="K134" s="362"/>
      <c r="L134" s="363"/>
      <c r="M134" s="363"/>
      <c r="N134" s="363"/>
      <c r="O134" s="364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5"/>
      <c r="AE134" s="365"/>
      <c r="AF134" s="365"/>
      <c r="AG134" s="365"/>
      <c r="AH134" s="365"/>
      <c r="AI134" s="365"/>
    </row>
    <row r="135" spans="1:35" x14ac:dyDescent="0.25">
      <c r="A135" s="366">
        <f t="shared" si="6"/>
        <v>20</v>
      </c>
      <c r="B135" s="366">
        <f t="shared" si="7"/>
        <v>2037</v>
      </c>
      <c r="C135" s="371">
        <f t="shared" si="8"/>
        <v>75358.821975119965</v>
      </c>
      <c r="D135" s="371">
        <f t="shared" si="9"/>
        <v>127468.48123217208</v>
      </c>
      <c r="E135" s="371"/>
      <c r="F135" s="367"/>
      <c r="G135" s="367"/>
      <c r="H135" s="368"/>
      <c r="I135" s="361"/>
      <c r="J135" s="362"/>
      <c r="K135" s="362"/>
      <c r="L135" s="363"/>
      <c r="M135" s="363"/>
      <c r="N135" s="363"/>
      <c r="O135" s="364"/>
      <c r="P135" s="365"/>
      <c r="Q135" s="365"/>
      <c r="R135" s="365"/>
      <c r="S135" s="365"/>
      <c r="T135" s="365"/>
      <c r="U135" s="365"/>
      <c r="V135" s="365"/>
      <c r="W135" s="365"/>
      <c r="X135" s="365"/>
      <c r="Y135" s="365"/>
      <c r="Z135" s="365"/>
      <c r="AA135" s="365"/>
      <c r="AB135" s="365"/>
      <c r="AC135" s="365"/>
      <c r="AD135" s="365"/>
      <c r="AE135" s="365"/>
      <c r="AF135" s="365"/>
      <c r="AG135" s="365"/>
      <c r="AH135" s="365"/>
      <c r="AI135" s="365"/>
    </row>
    <row r="136" spans="1:35" x14ac:dyDescent="0.25">
      <c r="A136" s="366">
        <f t="shared" si="6"/>
        <v>21</v>
      </c>
      <c r="B136" s="366">
        <f t="shared" si="7"/>
        <v>2038</v>
      </c>
      <c r="C136" s="371">
        <f t="shared" si="8"/>
        <v>77295.789256397606</v>
      </c>
      <c r="D136" s="371">
        <f t="shared" si="9"/>
        <v>130744.83655553934</v>
      </c>
      <c r="E136" s="371"/>
      <c r="F136" s="367"/>
      <c r="G136" s="367"/>
      <c r="H136" s="368"/>
      <c r="I136" s="361"/>
      <c r="J136" s="362"/>
      <c r="K136" s="362"/>
      <c r="L136" s="363"/>
      <c r="M136" s="363"/>
      <c r="N136" s="363"/>
      <c r="O136" s="364"/>
      <c r="P136" s="365"/>
      <c r="Q136" s="365"/>
      <c r="R136" s="365"/>
      <c r="S136" s="365"/>
      <c r="T136" s="365"/>
      <c r="U136" s="365"/>
      <c r="V136" s="365"/>
      <c r="W136" s="365"/>
      <c r="X136" s="365"/>
      <c r="Y136" s="365"/>
      <c r="Z136" s="365"/>
      <c r="AA136" s="365"/>
      <c r="AB136" s="365"/>
      <c r="AC136" s="365"/>
      <c r="AD136" s="365"/>
      <c r="AE136" s="365"/>
      <c r="AF136" s="365"/>
      <c r="AG136" s="365"/>
      <c r="AH136" s="365"/>
      <c r="AI136" s="365"/>
    </row>
    <row r="137" spans="1:35" x14ac:dyDescent="0.25">
      <c r="A137" s="366">
        <f t="shared" si="6"/>
        <v>22</v>
      </c>
      <c r="B137" s="366">
        <f t="shared" si="7"/>
        <v>2039</v>
      </c>
      <c r="C137" s="371">
        <f t="shared" si="8"/>
        <v>79282.542908406715</v>
      </c>
      <c r="D137" s="371">
        <f t="shared" si="9"/>
        <v>134105.40488671206</v>
      </c>
      <c r="E137" s="371"/>
      <c r="F137" s="367"/>
      <c r="G137" s="367"/>
      <c r="H137" s="368"/>
      <c r="I137" s="361"/>
      <c r="J137" s="362"/>
      <c r="K137" s="362"/>
      <c r="L137" s="363"/>
      <c r="M137" s="363"/>
      <c r="N137" s="363"/>
      <c r="O137" s="364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</row>
    <row r="138" spans="1:35" x14ac:dyDescent="0.25">
      <c r="A138" s="366">
        <f t="shared" si="6"/>
        <v>23</v>
      </c>
      <c r="B138" s="366">
        <f t="shared" si="7"/>
        <v>2040</v>
      </c>
      <c r="C138" s="371">
        <f t="shared" si="8"/>
        <v>81320.362603103844</v>
      </c>
      <c r="D138" s="371">
        <f t="shared" si="9"/>
        <v>137552.35077439871</v>
      </c>
      <c r="E138" s="371"/>
      <c r="F138" s="367"/>
      <c r="G138" s="367"/>
      <c r="H138" s="368"/>
      <c r="I138" s="361"/>
      <c r="J138" s="362"/>
      <c r="K138" s="362"/>
      <c r="L138" s="363"/>
      <c r="M138" s="363"/>
      <c r="N138" s="363"/>
      <c r="O138" s="364"/>
      <c r="P138" s="365"/>
      <c r="Q138" s="365"/>
      <c r="R138" s="365"/>
      <c r="S138" s="365"/>
      <c r="T138" s="365"/>
      <c r="U138" s="365"/>
      <c r="V138" s="365"/>
      <c r="W138" s="365"/>
      <c r="X138" s="365"/>
      <c r="Y138" s="365"/>
      <c r="Z138" s="365"/>
      <c r="AA138" s="365"/>
      <c r="AB138" s="365"/>
      <c r="AC138" s="365"/>
      <c r="AD138" s="365"/>
      <c r="AE138" s="365"/>
      <c r="AF138" s="365"/>
      <c r="AG138" s="365"/>
      <c r="AH138" s="365"/>
      <c r="AI138" s="365"/>
    </row>
    <row r="139" spans="1:35" x14ac:dyDescent="0.25">
      <c r="A139" s="366">
        <f t="shared" si="6"/>
        <v>24</v>
      </c>
      <c r="B139" s="366">
        <f t="shared" si="7"/>
        <v>2041</v>
      </c>
      <c r="C139" s="371">
        <f t="shared" si="8"/>
        <v>83410.560904184633</v>
      </c>
      <c r="D139" s="371">
        <f t="shared" si="9"/>
        <v>141087.89440326276</v>
      </c>
      <c r="E139" s="371"/>
      <c r="F139" s="367"/>
      <c r="G139" s="367"/>
      <c r="H139" s="368"/>
      <c r="I139" s="361"/>
      <c r="J139" s="362"/>
      <c r="K139" s="362"/>
      <c r="L139" s="363"/>
      <c r="M139" s="363"/>
      <c r="N139" s="363"/>
      <c r="O139" s="364"/>
      <c r="P139" s="365"/>
      <c r="Q139" s="365"/>
      <c r="R139" s="365"/>
      <c r="S139" s="365"/>
      <c r="T139" s="365"/>
      <c r="U139" s="365"/>
      <c r="V139" s="365"/>
      <c r="W139" s="365"/>
      <c r="X139" s="365"/>
      <c r="Y139" s="365"/>
      <c r="Z139" s="365"/>
      <c r="AA139" s="365"/>
      <c r="AB139" s="365"/>
      <c r="AC139" s="365"/>
      <c r="AD139" s="365"/>
      <c r="AE139" s="365"/>
      <c r="AF139" s="365"/>
      <c r="AG139" s="365"/>
      <c r="AH139" s="365"/>
      <c r="AI139" s="365"/>
    </row>
    <row r="140" spans="1:35" x14ac:dyDescent="0.25">
      <c r="A140" s="366">
        <f t="shared" si="6"/>
        <v>25</v>
      </c>
      <c r="B140" s="366">
        <f t="shared" si="7"/>
        <v>2042</v>
      </c>
      <c r="C140" s="371">
        <f t="shared" si="8"/>
        <v>85554.484112508697</v>
      </c>
      <c r="D140" s="371">
        <f t="shared" si="9"/>
        <v>144714.31302394794</v>
      </c>
      <c r="E140" s="371"/>
      <c r="F140" s="367"/>
      <c r="G140" s="367"/>
      <c r="H140" s="368"/>
      <c r="I140" s="361"/>
      <c r="J140" s="362"/>
      <c r="K140" s="362"/>
      <c r="L140" s="363"/>
      <c r="M140" s="363"/>
      <c r="N140" s="363"/>
      <c r="O140" s="364"/>
      <c r="P140" s="365"/>
      <c r="Q140" s="365"/>
      <c r="R140" s="365"/>
      <c r="S140" s="365"/>
      <c r="T140" s="365"/>
      <c r="U140" s="365"/>
      <c r="V140" s="365"/>
      <c r="W140" s="365"/>
      <c r="X140" s="365"/>
      <c r="Y140" s="365"/>
      <c r="Z140" s="365"/>
      <c r="AA140" s="365"/>
      <c r="AB140" s="365"/>
      <c r="AC140" s="365"/>
      <c r="AD140" s="365"/>
      <c r="AE140" s="365"/>
      <c r="AF140" s="365"/>
      <c r="AG140" s="365"/>
      <c r="AH140" s="365"/>
      <c r="AI140" s="365"/>
    </row>
    <row r="141" spans="1:35" x14ac:dyDescent="0.25">
      <c r="A141" s="366">
        <f t="shared" si="6"/>
        <v>26</v>
      </c>
      <c r="B141" s="366">
        <f t="shared" si="7"/>
        <v>2043</v>
      </c>
      <c r="C141" s="371">
        <f t="shared" si="8"/>
        <v>87753.513133254644</v>
      </c>
      <c r="D141" s="371">
        <f t="shared" si="9"/>
        <v>148433.94241985996</v>
      </c>
      <c r="E141" s="371"/>
      <c r="F141" s="367"/>
      <c r="G141" s="367"/>
      <c r="H141" s="368"/>
      <c r="I141" s="361"/>
      <c r="J141" s="362"/>
      <c r="K141" s="362"/>
      <c r="L141" s="363"/>
      <c r="M141" s="363"/>
      <c r="N141" s="363"/>
      <c r="O141" s="364"/>
      <c r="P141" s="365"/>
      <c r="Q141" s="365"/>
      <c r="R141" s="365"/>
      <c r="S141" s="365"/>
      <c r="T141" s="365"/>
      <c r="U141" s="365"/>
      <c r="V141" s="365"/>
      <c r="W141" s="365"/>
      <c r="X141" s="365"/>
      <c r="Y141" s="365"/>
      <c r="Z141" s="365"/>
      <c r="AA141" s="365"/>
      <c r="AB141" s="365"/>
      <c r="AC141" s="365"/>
      <c r="AD141" s="365"/>
      <c r="AE141" s="365"/>
      <c r="AF141" s="365"/>
      <c r="AG141" s="365"/>
      <c r="AH141" s="365"/>
      <c r="AI141" s="365"/>
    </row>
    <row r="142" spans="1:35" x14ac:dyDescent="0.25">
      <c r="A142" s="366">
        <f t="shared" si="6"/>
        <v>27</v>
      </c>
      <c r="B142" s="366">
        <f t="shared" si="7"/>
        <v>2044</v>
      </c>
      <c r="C142" s="371">
        <f t="shared" si="8"/>
        <v>90009.064365363869</v>
      </c>
      <c r="D142" s="371">
        <f t="shared" si="9"/>
        <v>152249.17841164922</v>
      </c>
      <c r="E142" s="371"/>
      <c r="F142" s="367"/>
      <c r="G142" s="367"/>
      <c r="H142" s="368"/>
      <c r="I142" s="361"/>
      <c r="J142" s="362"/>
      <c r="K142" s="362"/>
      <c r="L142" s="363"/>
      <c r="M142" s="363"/>
      <c r="N142" s="363"/>
      <c r="O142" s="364"/>
      <c r="P142" s="365"/>
      <c r="Q142" s="365"/>
      <c r="R142" s="365"/>
      <c r="S142" s="365"/>
      <c r="T142" s="365"/>
      <c r="U142" s="365"/>
      <c r="V142" s="365"/>
      <c r="W142" s="365"/>
      <c r="X142" s="365"/>
      <c r="Y142" s="365"/>
      <c r="Z142" s="365"/>
      <c r="AA142" s="365"/>
      <c r="AB142" s="365"/>
      <c r="AC142" s="365"/>
      <c r="AD142" s="365"/>
      <c r="AE142" s="365"/>
      <c r="AF142" s="365"/>
      <c r="AG142" s="365"/>
      <c r="AH142" s="365"/>
      <c r="AI142" s="365"/>
    </row>
    <row r="143" spans="1:35" x14ac:dyDescent="0.25">
      <c r="A143" s="366">
        <f t="shared" si="6"/>
        <v>28</v>
      </c>
      <c r="B143" s="366">
        <f t="shared" si="7"/>
        <v>2045</v>
      </c>
      <c r="C143" s="371">
        <f t="shared" si="8"/>
        <v>92322.590613845881</v>
      </c>
      <c r="D143" s="371">
        <f t="shared" si="9"/>
        <v>156162.47840036359</v>
      </c>
      <c r="E143" s="371"/>
      <c r="F143" s="367"/>
      <c r="G143" s="367"/>
      <c r="H143" s="368"/>
      <c r="I143" s="361"/>
      <c r="J143" s="362"/>
      <c r="K143" s="362"/>
      <c r="L143" s="363"/>
      <c r="M143" s="363"/>
      <c r="N143" s="363"/>
      <c r="O143" s="364"/>
      <c r="P143" s="365"/>
      <c r="Q143" s="365"/>
      <c r="R143" s="365"/>
      <c r="S143" s="365"/>
      <c r="T143" s="365"/>
      <c r="U143" s="365"/>
      <c r="V143" s="365"/>
      <c r="W143" s="365"/>
      <c r="X143" s="365"/>
      <c r="Y143" s="365"/>
      <c r="Z143" s="365"/>
      <c r="AA143" s="365"/>
      <c r="AB143" s="365"/>
      <c r="AC143" s="365"/>
      <c r="AD143" s="365"/>
      <c r="AE143" s="365"/>
      <c r="AF143" s="365"/>
      <c r="AG143" s="365"/>
      <c r="AH143" s="365"/>
      <c r="AI143" s="365"/>
    </row>
    <row r="144" spans="1:35" x14ac:dyDescent="0.25">
      <c r="A144" s="366">
        <f t="shared" si="6"/>
        <v>29</v>
      </c>
      <c r="B144" s="366">
        <f t="shared" si="7"/>
        <v>2046</v>
      </c>
      <c r="C144" s="371">
        <f t="shared" si="8"/>
        <v>94695.582025532887</v>
      </c>
      <c r="D144" s="371">
        <f t="shared" si="9"/>
        <v>160176.36295026532</v>
      </c>
      <c r="E144" s="371"/>
      <c r="F144" s="367"/>
      <c r="G144" s="367"/>
      <c r="H144" s="368"/>
      <c r="I144" s="361"/>
      <c r="J144" s="362"/>
      <c r="K144" s="362"/>
      <c r="L144" s="363"/>
      <c r="M144" s="363"/>
      <c r="N144" s="363"/>
      <c r="O144" s="364"/>
      <c r="P144" s="365"/>
      <c r="Q144" s="365"/>
      <c r="R144" s="365"/>
      <c r="S144" s="365"/>
      <c r="T144" s="365"/>
      <c r="U144" s="365"/>
      <c r="V144" s="365"/>
      <c r="W144" s="365"/>
      <c r="X144" s="365"/>
      <c r="Y144" s="365"/>
      <c r="Z144" s="365"/>
      <c r="AA144" s="365"/>
      <c r="AB144" s="365"/>
      <c r="AC144" s="365"/>
      <c r="AD144" s="365"/>
      <c r="AE144" s="365"/>
      <c r="AF144" s="365"/>
      <c r="AG144" s="365"/>
      <c r="AH144" s="365"/>
      <c r="AI144" s="365"/>
    </row>
    <row r="145" spans="1:35" x14ac:dyDescent="0.25">
      <c r="A145" s="366">
        <f t="shared" si="6"/>
        <v>30</v>
      </c>
      <c r="B145" s="366">
        <f t="shared" si="7"/>
        <v>2047</v>
      </c>
      <c r="C145" s="371">
        <f t="shared" si="8"/>
        <v>97129.567048886325</v>
      </c>
      <c r="D145" s="371">
        <f t="shared" si="9"/>
        <v>164293.41741233144</v>
      </c>
      <c r="E145" s="371"/>
      <c r="F145" s="367"/>
      <c r="G145" s="367"/>
      <c r="H145" s="368"/>
      <c r="I145" s="361"/>
      <c r="J145" s="362"/>
      <c r="K145" s="362"/>
      <c r="L145" s="363"/>
      <c r="M145" s="363"/>
      <c r="N145" s="363"/>
      <c r="O145" s="364"/>
      <c r="P145" s="365"/>
      <c r="Q145" s="365"/>
      <c r="R145" s="365"/>
      <c r="S145" s="365"/>
      <c r="T145" s="365"/>
      <c r="U145" s="365"/>
      <c r="V145" s="365"/>
      <c r="W145" s="365"/>
      <c r="X145" s="365"/>
      <c r="Y145" s="365"/>
      <c r="Z145" s="365"/>
      <c r="AA145" s="365"/>
      <c r="AB145" s="365"/>
      <c r="AC145" s="365"/>
      <c r="AD145" s="365"/>
      <c r="AE145" s="365"/>
      <c r="AF145" s="365"/>
      <c r="AG145" s="365"/>
      <c r="AH145" s="365"/>
      <c r="AI145" s="365"/>
    </row>
    <row r="146" spans="1:35" x14ac:dyDescent="0.25">
      <c r="A146" s="366">
        <f t="shared" si="6"/>
        <v>31</v>
      </c>
      <c r="B146" s="366">
        <f t="shared" si="7"/>
        <v>2048</v>
      </c>
      <c r="C146" s="371">
        <f t="shared" si="8"/>
        <v>99626.113418473542</v>
      </c>
      <c r="D146" s="371">
        <f t="shared" si="9"/>
        <v>168516.29358948348</v>
      </c>
      <c r="E146" s="371"/>
      <c r="F146" s="367"/>
      <c r="G146" s="367"/>
      <c r="H146" s="368"/>
      <c r="I146" s="361"/>
      <c r="J146" s="362"/>
      <c r="K146" s="362"/>
      <c r="L146" s="363"/>
      <c r="M146" s="363"/>
      <c r="N146" s="363"/>
      <c r="O146" s="364"/>
      <c r="P146" s="365"/>
      <c r="Q146" s="365"/>
      <c r="R146" s="365"/>
      <c r="S146" s="365"/>
      <c r="T146" s="365"/>
      <c r="U146" s="365"/>
      <c r="V146" s="365"/>
      <c r="W146" s="365"/>
      <c r="X146" s="365"/>
      <c r="Y146" s="365"/>
      <c r="Z146" s="365"/>
      <c r="AA146" s="365"/>
      <c r="AB146" s="365"/>
      <c r="AC146" s="365"/>
      <c r="AD146" s="365"/>
      <c r="AE146" s="365"/>
      <c r="AF146" s="365"/>
      <c r="AG146" s="365"/>
      <c r="AH146" s="365"/>
      <c r="AI146" s="365"/>
    </row>
    <row r="147" spans="1:35" x14ac:dyDescent="0.25">
      <c r="A147" s="366">
        <f t="shared" si="6"/>
        <v>32</v>
      </c>
      <c r="B147" s="366">
        <f t="shared" si="7"/>
        <v>2049</v>
      </c>
      <c r="C147" s="371">
        <f t="shared" si="8"/>
        <v>102186.82916474872</v>
      </c>
      <c r="D147" s="371">
        <f t="shared" si="9"/>
        <v>172847.71144461891</v>
      </c>
      <c r="E147" s="371"/>
      <c r="F147" s="367"/>
      <c r="G147" s="367"/>
      <c r="H147" s="368"/>
      <c r="I147" s="361"/>
      <c r="J147" s="362"/>
      <c r="K147" s="362"/>
      <c r="L147" s="363"/>
      <c r="M147" s="363"/>
      <c r="N147" s="363"/>
      <c r="O147" s="364"/>
      <c r="P147" s="365"/>
      <c r="Q147" s="365"/>
      <c r="R147" s="365"/>
      <c r="S147" s="365"/>
      <c r="T147" s="365"/>
      <c r="U147" s="365"/>
      <c r="V147" s="365"/>
      <c r="W147" s="365"/>
      <c r="X147" s="365"/>
      <c r="Y147" s="365"/>
      <c r="Z147" s="365"/>
      <c r="AA147" s="365"/>
      <c r="AB147" s="365"/>
      <c r="AC147" s="365"/>
      <c r="AD147" s="365"/>
      <c r="AE147" s="365"/>
      <c r="AF147" s="365"/>
      <c r="AG147" s="365"/>
      <c r="AH147" s="365"/>
      <c r="AI147" s="365"/>
    </row>
    <row r="148" spans="1:35" x14ac:dyDescent="0.25">
      <c r="A148" s="366">
        <f t="shared" si="6"/>
        <v>33</v>
      </c>
      <c r="B148" s="366">
        <f t="shared" si="7"/>
        <v>2050</v>
      </c>
      <c r="C148" s="371">
        <f t="shared" si="8"/>
        <v>104813.36364978849</v>
      </c>
      <c r="D148" s="371">
        <f t="shared" si="9"/>
        <v>177290.46085254464</v>
      </c>
      <c r="E148" s="371"/>
      <c r="F148" s="367"/>
      <c r="G148" s="367"/>
      <c r="H148" s="368"/>
      <c r="I148" s="361"/>
      <c r="J148" s="362"/>
      <c r="K148" s="362"/>
      <c r="L148" s="363"/>
      <c r="M148" s="363"/>
      <c r="N148" s="363"/>
      <c r="O148" s="364"/>
      <c r="P148" s="365"/>
      <c r="Q148" s="365"/>
      <c r="R148" s="365"/>
      <c r="S148" s="365"/>
      <c r="T148" s="365"/>
      <c r="U148" s="365"/>
      <c r="V148" s="365"/>
      <c r="W148" s="365"/>
      <c r="X148" s="365"/>
      <c r="Y148" s="365"/>
      <c r="Z148" s="365"/>
      <c r="AA148" s="365"/>
      <c r="AB148" s="365"/>
      <c r="AC148" s="365"/>
      <c r="AD148" s="365"/>
      <c r="AE148" s="365"/>
      <c r="AF148" s="365"/>
      <c r="AG148" s="365"/>
      <c r="AH148" s="365"/>
      <c r="AI148" s="365"/>
    </row>
    <row r="149" spans="1:35" x14ac:dyDescent="0.25">
      <c r="A149" s="366">
        <f t="shared" si="6"/>
        <v>34</v>
      </c>
      <c r="B149" s="366">
        <f t="shared" si="7"/>
        <v>2051</v>
      </c>
      <c r="C149" s="371">
        <f t="shared" si="8"/>
        <v>107507.40862964928</v>
      </c>
      <c r="D149" s="371">
        <f t="shared" si="9"/>
        <v>181847.40339694096</v>
      </c>
      <c r="E149" s="371"/>
      <c r="F149" s="367"/>
      <c r="G149" s="367"/>
      <c r="H149" s="368"/>
      <c r="I149" s="361"/>
      <c r="J149" s="362"/>
      <c r="K149" s="362"/>
      <c r="L149" s="363"/>
      <c r="M149" s="363"/>
      <c r="N149" s="363"/>
      <c r="O149" s="364"/>
      <c r="P149" s="365"/>
      <c r="Q149" s="365"/>
      <c r="R149" s="365"/>
      <c r="S149" s="365"/>
      <c r="T149" s="365"/>
      <c r="U149" s="365"/>
      <c r="V149" s="365"/>
      <c r="W149" s="365"/>
      <c r="X149" s="365"/>
      <c r="Y149" s="365"/>
      <c r="Z149" s="365"/>
      <c r="AA149" s="365"/>
      <c r="AB149" s="365"/>
      <c r="AC149" s="365"/>
      <c r="AD149" s="365"/>
      <c r="AE149" s="365"/>
      <c r="AF149" s="365"/>
      <c r="AG149" s="365"/>
      <c r="AH149" s="365"/>
      <c r="AI149" s="365"/>
    </row>
    <row r="150" spans="1:35" x14ac:dyDescent="0.25">
      <c r="A150" s="366">
        <f t="shared" si="6"/>
        <v>35</v>
      </c>
      <c r="B150" s="366">
        <f t="shared" si="7"/>
        <v>2052</v>
      </c>
      <c r="C150" s="371">
        <f t="shared" si="8"/>
        <v>110270.69934403076</v>
      </c>
      <c r="D150" s="371">
        <f t="shared" si="9"/>
        <v>186521.4742135132</v>
      </c>
      <c r="E150" s="371"/>
      <c r="F150" s="367"/>
      <c r="G150" s="367"/>
      <c r="H150" s="368"/>
      <c r="I150" s="361"/>
      <c r="J150" s="362"/>
      <c r="K150" s="362"/>
      <c r="L150" s="363"/>
      <c r="M150" s="363"/>
      <c r="N150" s="363"/>
      <c r="O150" s="364"/>
      <c r="P150" s="365"/>
      <c r="Q150" s="365"/>
      <c r="R150" s="365"/>
      <c r="S150" s="365"/>
      <c r="T150" s="365"/>
      <c r="U150" s="365"/>
      <c r="V150" s="365"/>
      <c r="W150" s="365"/>
      <c r="X150" s="365"/>
      <c r="Y150" s="365"/>
      <c r="Z150" s="365"/>
      <c r="AA150" s="365"/>
      <c r="AB150" s="365"/>
      <c r="AC150" s="365"/>
      <c r="AD150" s="365"/>
      <c r="AE150" s="365"/>
      <c r="AF150" s="365"/>
      <c r="AG150" s="365"/>
      <c r="AH150" s="365"/>
      <c r="AI150" s="365"/>
    </row>
    <row r="151" spans="1:35" x14ac:dyDescent="0.25">
      <c r="A151" s="366">
        <f t="shared" si="6"/>
        <v>36</v>
      </c>
      <c r="B151" s="366">
        <f t="shared" si="7"/>
        <v>2053</v>
      </c>
      <c r="C151" s="371">
        <f t="shared" si="8"/>
        <v>113105.01563394713</v>
      </c>
      <c r="D151" s="371">
        <f t="shared" si="9"/>
        <v>191315.68388051842</v>
      </c>
      <c r="E151" s="371"/>
      <c r="F151" s="367"/>
      <c r="G151" s="367"/>
      <c r="H151" s="368"/>
      <c r="I151" s="361"/>
      <c r="J151" s="362"/>
      <c r="K151" s="362"/>
      <c r="L151" s="363"/>
      <c r="M151" s="363"/>
      <c r="N151" s="363"/>
      <c r="O151" s="364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</row>
    <row r="152" spans="1:35" x14ac:dyDescent="0.25">
      <c r="A152" s="366">
        <f t="shared" si="6"/>
        <v>37</v>
      </c>
      <c r="B152" s="366">
        <f t="shared" si="7"/>
        <v>2054</v>
      </c>
      <c r="C152" s="371">
        <f t="shared" si="8"/>
        <v>116012.1830881263</v>
      </c>
      <c r="D152" s="371">
        <f t="shared" si="9"/>
        <v>196233.12035788488</v>
      </c>
      <c r="E152" s="371"/>
      <c r="F152" s="367"/>
      <c r="G152" s="367"/>
      <c r="H152" s="368"/>
      <c r="I152" s="361"/>
      <c r="J152" s="362"/>
      <c r="K152" s="362"/>
      <c r="L152" s="363"/>
      <c r="M152" s="363"/>
      <c r="N152" s="363"/>
      <c r="O152" s="364"/>
      <c r="P152" s="365"/>
      <c r="Q152" s="365"/>
      <c r="R152" s="365"/>
      <c r="S152" s="365"/>
      <c r="T152" s="365"/>
      <c r="U152" s="365"/>
      <c r="V152" s="365"/>
      <c r="W152" s="365"/>
      <c r="X152" s="365"/>
      <c r="Y152" s="365"/>
      <c r="Z152" s="365"/>
      <c r="AA152" s="365"/>
      <c r="AB152" s="365"/>
      <c r="AC152" s="365"/>
      <c r="AD152" s="365"/>
      <c r="AE152" s="365"/>
      <c r="AF152" s="365"/>
      <c r="AG152" s="365"/>
      <c r="AH152" s="365"/>
      <c r="AI152" s="365"/>
    </row>
    <row r="153" spans="1:35" x14ac:dyDescent="0.25">
      <c r="A153" s="366">
        <f t="shared" si="6"/>
        <v>38</v>
      </c>
      <c r="B153" s="366">
        <f t="shared" si="7"/>
        <v>2055</v>
      </c>
      <c r="C153" s="371">
        <f t="shared" si="8"/>
        <v>118994.07421887515</v>
      </c>
      <c r="D153" s="371">
        <f t="shared" si="9"/>
        <v>201276.95097617307</v>
      </c>
      <c r="E153" s="371"/>
      <c r="F153" s="367"/>
      <c r="G153" s="367"/>
      <c r="H153" s="368"/>
      <c r="I153" s="361"/>
      <c r="J153" s="362"/>
      <c r="K153" s="362"/>
      <c r="L153" s="363"/>
      <c r="M153" s="363"/>
      <c r="N153" s="363"/>
      <c r="O153" s="364"/>
      <c r="P153" s="365"/>
      <c r="Q153" s="365"/>
      <c r="R153" s="365"/>
      <c r="S153" s="365"/>
      <c r="T153" s="365"/>
      <c r="U153" s="365"/>
      <c r="V153" s="365"/>
      <c r="W153" s="365"/>
      <c r="X153" s="365"/>
      <c r="Y153" s="365"/>
      <c r="Z153" s="365"/>
      <c r="AA153" s="365"/>
      <c r="AB153" s="365"/>
      <c r="AC153" s="365"/>
      <c r="AD153" s="365"/>
      <c r="AE153" s="365"/>
      <c r="AF153" s="365"/>
      <c r="AG153" s="365"/>
      <c r="AH153" s="365"/>
      <c r="AI153" s="365"/>
    </row>
    <row r="154" spans="1:35" x14ac:dyDescent="0.25">
      <c r="A154" s="366">
        <f t="shared" si="6"/>
        <v>39</v>
      </c>
      <c r="B154" s="366">
        <f t="shared" si="7"/>
        <v>2056</v>
      </c>
      <c r="C154" s="371">
        <f t="shared" si="8"/>
        <v>122052.6096681684</v>
      </c>
      <c r="D154" s="371">
        <f t="shared" si="9"/>
        <v>206450.42447665968</v>
      </c>
      <c r="E154" s="371"/>
      <c r="F154" s="367"/>
      <c r="G154" s="367"/>
      <c r="H154" s="368"/>
      <c r="I154" s="361"/>
      <c r="J154" s="362"/>
      <c r="K154" s="362"/>
      <c r="L154" s="363"/>
      <c r="M154" s="363"/>
      <c r="N154" s="363"/>
      <c r="O154" s="364"/>
      <c r="P154" s="365"/>
      <c r="Q154" s="365"/>
      <c r="R154" s="365"/>
      <c r="S154" s="365"/>
      <c r="T154" s="365"/>
      <c r="U154" s="365"/>
      <c r="V154" s="365"/>
      <c r="W154" s="365"/>
      <c r="X154" s="365"/>
      <c r="Y154" s="365"/>
      <c r="Z154" s="365"/>
      <c r="AA154" s="365"/>
      <c r="AB154" s="365"/>
      <c r="AC154" s="365"/>
      <c r="AD154" s="365"/>
      <c r="AE154" s="365"/>
      <c r="AF154" s="365"/>
      <c r="AG154" s="365"/>
      <c r="AH154" s="365"/>
      <c r="AI154" s="365"/>
    </row>
    <row r="155" spans="1:35" x14ac:dyDescent="0.25">
      <c r="A155" s="366">
        <f t="shared" si="6"/>
        <v>40</v>
      </c>
      <c r="B155" s="366">
        <f t="shared" si="7"/>
        <v>2057</v>
      </c>
      <c r="C155" s="371">
        <f t="shared" si="8"/>
        <v>125189.75944473795</v>
      </c>
      <c r="D155" s="371">
        <f t="shared" si="9"/>
        <v>211756.87310385815</v>
      </c>
      <c r="E155" s="371"/>
      <c r="F155" s="367"/>
      <c r="G155" s="367"/>
      <c r="H155" s="368"/>
      <c r="I155" s="361"/>
      <c r="J155" s="362"/>
      <c r="K155" s="362"/>
      <c r="L155" s="363"/>
      <c r="M155" s="363"/>
      <c r="N155" s="363"/>
      <c r="O155" s="364"/>
      <c r="P155" s="365"/>
      <c r="Q155" s="365"/>
      <c r="R155" s="365"/>
      <c r="S155" s="365"/>
      <c r="T155" s="365"/>
      <c r="U155" s="365"/>
      <c r="V155" s="365"/>
      <c r="W155" s="365"/>
      <c r="X155" s="365"/>
      <c r="Y155" s="365"/>
      <c r="Z155" s="365"/>
      <c r="AA155" s="365"/>
      <c r="AB155" s="365"/>
      <c r="AC155" s="365"/>
      <c r="AD155" s="365"/>
      <c r="AE155" s="365"/>
      <c r="AF155" s="365"/>
      <c r="AG155" s="365"/>
      <c r="AH155" s="365"/>
      <c r="AI155" s="365"/>
    </row>
    <row r="156" spans="1:35" x14ac:dyDescent="0.25">
      <c r="A156" s="369"/>
      <c r="B156" s="367"/>
      <c r="C156" s="367"/>
      <c r="D156" s="368"/>
      <c r="E156" s="368"/>
      <c r="F156" s="367"/>
      <c r="G156" s="367"/>
      <c r="H156" s="368"/>
      <c r="I156" s="361"/>
      <c r="J156" s="362"/>
      <c r="K156" s="362"/>
      <c r="L156" s="363"/>
      <c r="M156" s="363"/>
      <c r="N156" s="363"/>
      <c r="O156" s="364"/>
      <c r="P156" s="365"/>
      <c r="Q156" s="365"/>
      <c r="R156" s="365"/>
      <c r="S156" s="365"/>
      <c r="T156" s="365"/>
      <c r="U156" s="365"/>
      <c r="V156" s="365"/>
      <c r="W156" s="365"/>
      <c r="X156" s="365"/>
      <c r="Y156" s="365"/>
      <c r="Z156" s="365"/>
      <c r="AA156" s="365"/>
      <c r="AB156" s="365"/>
      <c r="AC156" s="365"/>
      <c r="AD156" s="365"/>
      <c r="AE156" s="365"/>
      <c r="AF156" s="365"/>
      <c r="AG156" s="365"/>
      <c r="AH156" s="365"/>
      <c r="AI156" s="365"/>
    </row>
    <row r="157" spans="1:35" s="13" customFormat="1" x14ac:dyDescent="0.25">
      <c r="A157" s="12" t="s">
        <v>84</v>
      </c>
    </row>
    <row r="158" spans="1:35" ht="32.25" customHeight="1" x14ac:dyDescent="0.25">
      <c r="A158" s="569" t="s">
        <v>83</v>
      </c>
      <c r="B158" s="569"/>
      <c r="C158" s="569"/>
      <c r="D158" s="569"/>
      <c r="E158" s="569"/>
      <c r="F158" s="251"/>
      <c r="G158" s="70"/>
      <c r="H158" s="77"/>
      <c r="I158" s="77"/>
      <c r="J158" s="75"/>
      <c r="K158" s="75"/>
      <c r="L158" s="76"/>
      <c r="M158" s="76"/>
      <c r="N158" s="76"/>
      <c r="O158" s="69"/>
    </row>
    <row r="159" spans="1:35" x14ac:dyDescent="0.25">
      <c r="A159" s="1"/>
      <c r="G159" s="70"/>
      <c r="H159" s="77"/>
      <c r="I159" s="77"/>
      <c r="J159" s="75"/>
      <c r="K159" s="75"/>
      <c r="L159" s="76"/>
      <c r="M159" s="76"/>
      <c r="N159" s="76"/>
      <c r="O159" s="69"/>
    </row>
    <row r="160" spans="1:35" x14ac:dyDescent="0.25">
      <c r="A160" t="s">
        <v>301</v>
      </c>
      <c r="B160" s="302">
        <f>B106*C38</f>
        <v>11844</v>
      </c>
      <c r="C160" s="6" t="s">
        <v>300</v>
      </c>
      <c r="G160" s="70"/>
      <c r="H160" s="77"/>
      <c r="I160" s="77"/>
      <c r="J160" s="75"/>
      <c r="K160" s="75"/>
      <c r="L160" s="76"/>
      <c r="M160" s="76"/>
      <c r="N160" s="76"/>
      <c r="O160" s="69"/>
    </row>
    <row r="161" spans="1:15" x14ac:dyDescent="0.25">
      <c r="A161" t="s">
        <v>294</v>
      </c>
      <c r="B161">
        <v>0.55000000000000004</v>
      </c>
      <c r="G161" s="70"/>
      <c r="H161" s="77"/>
      <c r="I161" s="77"/>
      <c r="J161" s="75"/>
      <c r="K161" s="75"/>
      <c r="L161" s="76"/>
      <c r="M161" s="76"/>
      <c r="N161" s="76"/>
      <c r="O161" s="69"/>
    </row>
    <row r="162" spans="1:15" x14ac:dyDescent="0.25">
      <c r="A162" t="s">
        <v>295</v>
      </c>
      <c r="B162" s="479">
        <f>B107</f>
        <v>1.17</v>
      </c>
      <c r="G162" s="70"/>
      <c r="H162" s="77"/>
      <c r="I162" s="77"/>
      <c r="J162" s="75"/>
      <c r="K162" s="75"/>
      <c r="L162" s="76"/>
      <c r="M162" s="76"/>
      <c r="N162" s="76"/>
      <c r="O162" s="69"/>
    </row>
    <row r="163" spans="1:15" x14ac:dyDescent="0.25">
      <c r="A163" t="s">
        <v>296</v>
      </c>
      <c r="B163" s="306">
        <f>B160*B161*B162</f>
        <v>7621.6140000000005</v>
      </c>
      <c r="G163" s="70"/>
      <c r="H163" s="77"/>
      <c r="I163" s="77"/>
      <c r="J163" s="75"/>
      <c r="K163" s="75"/>
      <c r="L163" s="76"/>
      <c r="M163" s="76"/>
      <c r="N163" s="76"/>
      <c r="O163" s="69"/>
    </row>
    <row r="164" spans="1:15" x14ac:dyDescent="0.25">
      <c r="A164" t="s">
        <v>297</v>
      </c>
      <c r="B164">
        <v>0.75</v>
      </c>
      <c r="G164" s="70"/>
      <c r="H164" s="77"/>
      <c r="I164" s="77"/>
      <c r="J164" s="75"/>
      <c r="K164" s="75"/>
      <c r="L164" s="76"/>
      <c r="M164" s="76"/>
      <c r="N164" s="76"/>
      <c r="O164" s="69"/>
    </row>
    <row r="165" spans="1:15" x14ac:dyDescent="0.25">
      <c r="A165" t="s">
        <v>390</v>
      </c>
      <c r="B165" s="479">
        <v>18.64</v>
      </c>
      <c r="C165" t="s">
        <v>468</v>
      </c>
      <c r="G165" s="70"/>
      <c r="H165" s="77"/>
      <c r="I165" s="77"/>
      <c r="J165" s="75"/>
      <c r="K165" s="75"/>
      <c r="L165" s="76"/>
      <c r="M165" s="76"/>
      <c r="N165" s="76"/>
      <c r="O165" s="69"/>
    </row>
    <row r="166" spans="1:15" x14ac:dyDescent="0.25">
      <c r="A166" s="77" t="s">
        <v>298</v>
      </c>
      <c r="B166" s="307">
        <f>B160*B164*B165</f>
        <v>165579.12</v>
      </c>
      <c r="C166" s="70"/>
      <c r="G166" s="70"/>
      <c r="H166" s="77"/>
      <c r="I166" s="77"/>
      <c r="J166" s="75"/>
      <c r="K166" s="75"/>
      <c r="L166" s="76"/>
      <c r="M166" s="76"/>
      <c r="N166" s="76"/>
      <c r="O166" s="69"/>
    </row>
    <row r="167" spans="1:15" x14ac:dyDescent="0.25">
      <c r="A167" s="77" t="s">
        <v>299</v>
      </c>
      <c r="B167" s="307">
        <f>B163+B166</f>
        <v>173200.734</v>
      </c>
      <c r="C167" s="70"/>
      <c r="G167" s="70"/>
      <c r="H167" s="77"/>
      <c r="I167" s="77"/>
      <c r="J167" s="75"/>
      <c r="K167" s="75"/>
      <c r="L167" s="76"/>
      <c r="M167" s="76"/>
      <c r="N167" s="76"/>
      <c r="O167" s="69"/>
    </row>
    <row r="168" spans="1:15" x14ac:dyDescent="0.25">
      <c r="A168" s="69"/>
      <c r="B168" s="70"/>
      <c r="C168" s="70"/>
      <c r="D168" s="77"/>
      <c r="E168" s="307"/>
      <c r="F168" s="70"/>
      <c r="G168" s="70"/>
      <c r="H168" s="77"/>
      <c r="I168" s="77"/>
      <c r="J168" s="75"/>
      <c r="K168" s="75"/>
      <c r="L168" s="76"/>
      <c r="M168" s="76"/>
      <c r="N168" s="76"/>
      <c r="O168" s="69"/>
    </row>
    <row r="169" spans="1:15" x14ac:dyDescent="0.25">
      <c r="A169" s="69"/>
      <c r="B169" s="70"/>
      <c r="D169" s="77"/>
      <c r="E169" s="307"/>
      <c r="F169" s="70"/>
      <c r="G169" s="70"/>
      <c r="H169" s="77"/>
      <c r="I169" s="77"/>
      <c r="J169" s="75"/>
      <c r="K169" s="75"/>
      <c r="L169" s="76"/>
      <c r="M169" s="76"/>
      <c r="N169" s="76"/>
      <c r="O169" s="69"/>
    </row>
    <row r="170" spans="1:15" x14ac:dyDescent="0.25">
      <c r="A170" s="69"/>
      <c r="B170" s="372"/>
      <c r="C170" s="374" t="s">
        <v>321</v>
      </c>
      <c r="D170" s="77"/>
      <c r="E170" s="307"/>
      <c r="F170" s="70"/>
      <c r="G170" s="70"/>
      <c r="H170" s="77"/>
      <c r="I170" s="77"/>
      <c r="J170" s="75"/>
      <c r="K170" s="75"/>
      <c r="L170" s="76"/>
      <c r="M170" s="76"/>
      <c r="N170" s="76"/>
      <c r="O170" s="69"/>
    </row>
    <row r="171" spans="1:15" x14ac:dyDescent="0.25">
      <c r="A171" s="69">
        <v>1</v>
      </c>
      <c r="B171" s="69">
        <v>2018</v>
      </c>
      <c r="C171" s="373"/>
      <c r="D171" s="77"/>
      <c r="E171" s="307"/>
      <c r="F171" s="70"/>
      <c r="G171" s="70"/>
      <c r="H171" s="77"/>
      <c r="I171" s="77"/>
      <c r="J171" s="75"/>
      <c r="K171" s="75"/>
      <c r="L171" s="76"/>
      <c r="M171" s="76"/>
      <c r="N171" s="76"/>
      <c r="O171" s="69"/>
    </row>
    <row r="172" spans="1:15" x14ac:dyDescent="0.25">
      <c r="A172" s="69">
        <f t="shared" ref="A172:A210" si="10">A171+1</f>
        <v>2</v>
      </c>
      <c r="B172" s="69">
        <f t="shared" ref="B172:B210" si="11">B171+1</f>
        <v>2019</v>
      </c>
      <c r="C172" s="373"/>
      <c r="D172" s="77"/>
      <c r="E172" s="307"/>
      <c r="F172" s="70"/>
      <c r="G172" s="70"/>
      <c r="H172" s="77"/>
      <c r="I172" s="77"/>
      <c r="J172" s="75"/>
      <c r="K172" s="75"/>
      <c r="L172" s="76"/>
      <c r="M172" s="76"/>
      <c r="N172" s="76"/>
      <c r="O172" s="69"/>
    </row>
    <row r="173" spans="1:15" x14ac:dyDescent="0.25">
      <c r="A173" s="69">
        <f t="shared" si="10"/>
        <v>3</v>
      </c>
      <c r="B173" s="69">
        <f t="shared" si="11"/>
        <v>2020</v>
      </c>
      <c r="C173" s="373"/>
      <c r="D173" s="77"/>
      <c r="E173" s="307"/>
      <c r="F173" s="70"/>
      <c r="G173" s="70"/>
      <c r="H173" s="77"/>
      <c r="I173" s="77"/>
      <c r="J173" s="75"/>
      <c r="K173" s="75"/>
      <c r="L173" s="76"/>
      <c r="M173" s="76"/>
      <c r="N173" s="76"/>
      <c r="O173" s="69"/>
    </row>
    <row r="174" spans="1:15" x14ac:dyDescent="0.25">
      <c r="A174" s="69">
        <f t="shared" si="10"/>
        <v>4</v>
      </c>
      <c r="B174" s="69">
        <f t="shared" si="11"/>
        <v>2021</v>
      </c>
      <c r="C174" s="373">
        <f>B167*((1+E48)^3)</f>
        <v>186902.42393457098</v>
      </c>
      <c r="D174" s="77"/>
      <c r="E174" s="307"/>
      <c r="F174" s="70"/>
      <c r="G174" s="70"/>
      <c r="H174" s="77"/>
      <c r="I174" s="77"/>
      <c r="J174" s="75"/>
      <c r="K174" s="75"/>
      <c r="L174" s="76"/>
      <c r="M174" s="76"/>
      <c r="N174" s="76"/>
      <c r="O174" s="69"/>
    </row>
    <row r="175" spans="1:15" x14ac:dyDescent="0.25">
      <c r="A175" s="69">
        <f t="shared" si="10"/>
        <v>5</v>
      </c>
      <c r="B175" s="69">
        <f t="shared" si="11"/>
        <v>2022</v>
      </c>
      <c r="C175" s="373">
        <f t="shared" ref="C175:C210" si="12">C174*(1+$E$48)</f>
        <v>191706.42525073103</v>
      </c>
      <c r="D175" s="77"/>
      <c r="E175" s="307"/>
      <c r="F175" s="70"/>
      <c r="G175" s="70"/>
      <c r="H175" s="77"/>
      <c r="I175" s="77"/>
      <c r="J175" s="75"/>
      <c r="K175" s="75"/>
      <c r="L175" s="76"/>
      <c r="M175" s="76"/>
      <c r="N175" s="76"/>
      <c r="O175" s="69"/>
    </row>
    <row r="176" spans="1:15" x14ac:dyDescent="0.25">
      <c r="A176" s="69">
        <f t="shared" si="10"/>
        <v>6</v>
      </c>
      <c r="B176" s="69">
        <f t="shared" si="11"/>
        <v>2023</v>
      </c>
      <c r="C176" s="373">
        <f t="shared" si="12"/>
        <v>196633.90505454165</v>
      </c>
      <c r="D176" s="77"/>
      <c r="E176" s="307"/>
      <c r="F176" s="70"/>
      <c r="G176" s="70"/>
      <c r="H176" s="77"/>
      <c r="I176" s="77"/>
      <c r="J176" s="75"/>
      <c r="K176" s="75"/>
      <c r="L176" s="76"/>
      <c r="M176" s="76"/>
      <c r="N176" s="76"/>
      <c r="O176" s="69"/>
    </row>
    <row r="177" spans="1:15" x14ac:dyDescent="0.25">
      <c r="A177" s="69">
        <f t="shared" si="10"/>
        <v>7</v>
      </c>
      <c r="B177" s="69">
        <f t="shared" si="11"/>
        <v>2024</v>
      </c>
      <c r="C177" s="373">
        <f t="shared" si="12"/>
        <v>201688.03714548977</v>
      </c>
      <c r="D177" s="77"/>
      <c r="E177" s="307"/>
      <c r="F177" s="70"/>
      <c r="G177" s="70"/>
      <c r="H177" s="77"/>
      <c r="I177" s="77"/>
      <c r="J177" s="75"/>
      <c r="K177" s="75"/>
      <c r="L177" s="76"/>
      <c r="M177" s="76"/>
      <c r="N177" s="76"/>
      <c r="O177" s="69"/>
    </row>
    <row r="178" spans="1:15" x14ac:dyDescent="0.25">
      <c r="A178" s="69">
        <f t="shared" si="10"/>
        <v>8</v>
      </c>
      <c r="B178" s="69">
        <f t="shared" si="11"/>
        <v>2025</v>
      </c>
      <c r="C178" s="373">
        <f t="shared" si="12"/>
        <v>206872.07690005098</v>
      </c>
      <c r="D178" s="77"/>
      <c r="E178" s="307"/>
      <c r="F178" s="70"/>
      <c r="G178" s="70"/>
      <c r="H178" s="77"/>
      <c r="I178" s="77"/>
      <c r="J178" s="75"/>
      <c r="K178" s="75"/>
      <c r="L178" s="76"/>
      <c r="M178" s="76"/>
      <c r="N178" s="76"/>
      <c r="O178" s="69"/>
    </row>
    <row r="179" spans="1:15" x14ac:dyDescent="0.25">
      <c r="A179" s="69">
        <f t="shared" si="10"/>
        <v>9</v>
      </c>
      <c r="B179" s="69">
        <f t="shared" si="11"/>
        <v>2026</v>
      </c>
      <c r="C179" s="373">
        <f t="shared" si="12"/>
        <v>212189.36336848387</v>
      </c>
      <c r="D179" s="77"/>
      <c r="E179" s="307"/>
      <c r="F179" s="70"/>
      <c r="G179" s="70"/>
      <c r="H179" s="77"/>
      <c r="I179" s="77"/>
      <c r="J179" s="75"/>
      <c r="K179" s="75"/>
      <c r="L179" s="76"/>
      <c r="M179" s="76"/>
      <c r="N179" s="76"/>
      <c r="O179" s="69"/>
    </row>
    <row r="180" spans="1:15" x14ac:dyDescent="0.25">
      <c r="A180" s="69">
        <f t="shared" si="10"/>
        <v>10</v>
      </c>
      <c r="B180" s="69">
        <f t="shared" si="11"/>
        <v>2027</v>
      </c>
      <c r="C180" s="373">
        <f t="shared" si="12"/>
        <v>217643.32142551904</v>
      </c>
      <c r="D180" s="77"/>
      <c r="E180" s="307"/>
      <c r="F180" s="70"/>
      <c r="G180" s="70"/>
      <c r="H180" s="77"/>
      <c r="I180" s="77"/>
      <c r="J180" s="75"/>
      <c r="K180" s="75"/>
      <c r="L180" s="76"/>
      <c r="M180" s="76"/>
      <c r="N180" s="76"/>
      <c r="O180" s="69"/>
    </row>
    <row r="181" spans="1:15" x14ac:dyDescent="0.25">
      <c r="A181" s="69">
        <f t="shared" si="10"/>
        <v>11</v>
      </c>
      <c r="B181" s="69">
        <f t="shared" si="11"/>
        <v>2028</v>
      </c>
      <c r="C181" s="373">
        <f t="shared" si="12"/>
        <v>223237.46397632756</v>
      </c>
      <c r="D181" s="77"/>
      <c r="E181" s="307"/>
      <c r="F181" s="70"/>
      <c r="G181" s="70"/>
      <c r="H181" s="77"/>
      <c r="I181" s="77"/>
      <c r="J181" s="75"/>
      <c r="K181" s="75"/>
      <c r="L181" s="76"/>
      <c r="M181" s="76"/>
      <c r="N181" s="76"/>
      <c r="O181" s="69"/>
    </row>
    <row r="182" spans="1:15" x14ac:dyDescent="0.25">
      <c r="A182" s="69">
        <f t="shared" si="10"/>
        <v>12</v>
      </c>
      <c r="B182" s="69">
        <f t="shared" si="11"/>
        <v>2029</v>
      </c>
      <c r="C182" s="373">
        <f t="shared" si="12"/>
        <v>228975.3942191902</v>
      </c>
      <c r="D182" s="77"/>
      <c r="E182" s="307"/>
      <c r="F182" s="70"/>
      <c r="G182" s="70"/>
      <c r="H182" s="77"/>
      <c r="I182" s="77"/>
      <c r="J182" s="75"/>
      <c r="K182" s="75"/>
      <c r="L182" s="76"/>
      <c r="M182" s="76"/>
      <c r="N182" s="76"/>
      <c r="O182" s="69"/>
    </row>
    <row r="183" spans="1:15" x14ac:dyDescent="0.25">
      <c r="A183" s="69">
        <f t="shared" si="10"/>
        <v>13</v>
      </c>
      <c r="B183" s="69">
        <f t="shared" si="11"/>
        <v>2030</v>
      </c>
      <c r="C183" s="373">
        <f t="shared" si="12"/>
        <v>234860.80796632453</v>
      </c>
      <c r="D183" s="77"/>
      <c r="E183" s="307"/>
      <c r="F183" s="70"/>
      <c r="G183" s="70"/>
      <c r="H183" s="77"/>
      <c r="I183" s="77"/>
      <c r="J183" s="75"/>
      <c r="K183" s="75"/>
      <c r="L183" s="76"/>
      <c r="M183" s="76"/>
      <c r="N183" s="76"/>
      <c r="O183" s="69"/>
    </row>
    <row r="184" spans="1:15" x14ac:dyDescent="0.25">
      <c r="A184" s="69">
        <f t="shared" si="10"/>
        <v>14</v>
      </c>
      <c r="B184" s="69">
        <f t="shared" si="11"/>
        <v>2031</v>
      </c>
      <c r="C184" s="373">
        <f t="shared" si="12"/>
        <v>240897.49602436495</v>
      </c>
      <c r="D184" s="77"/>
      <c r="E184" s="307"/>
      <c r="F184" s="70"/>
      <c r="G184" s="70"/>
      <c r="H184" s="77"/>
      <c r="I184" s="77"/>
      <c r="J184" s="75"/>
      <c r="K184" s="75"/>
      <c r="L184" s="76"/>
      <c r="M184" s="76"/>
      <c r="N184" s="76"/>
      <c r="O184" s="69"/>
    </row>
    <row r="185" spans="1:15" x14ac:dyDescent="0.25">
      <c r="A185" s="69">
        <f t="shared" si="10"/>
        <v>15</v>
      </c>
      <c r="B185" s="69">
        <f t="shared" si="11"/>
        <v>2032</v>
      </c>
      <c r="C185" s="373">
        <f t="shared" si="12"/>
        <v>247089.34663602867</v>
      </c>
      <c r="D185" s="77"/>
      <c r="E185" s="307"/>
      <c r="F185" s="70"/>
      <c r="G185" s="70"/>
      <c r="H185" s="77"/>
      <c r="I185" s="77"/>
      <c r="J185" s="75"/>
      <c r="K185" s="75"/>
      <c r="L185" s="76"/>
      <c r="M185" s="76"/>
      <c r="N185" s="76"/>
      <c r="O185" s="69"/>
    </row>
    <row r="186" spans="1:15" x14ac:dyDescent="0.25">
      <c r="A186" s="69">
        <f t="shared" si="10"/>
        <v>16</v>
      </c>
      <c r="B186" s="69">
        <f t="shared" si="11"/>
        <v>2033</v>
      </c>
      <c r="C186" s="373">
        <f t="shared" si="12"/>
        <v>253440.34798454057</v>
      </c>
      <c r="D186" s="77"/>
      <c r="E186" s="307"/>
      <c r="F186" s="70"/>
      <c r="G186" s="70"/>
      <c r="H186" s="77"/>
      <c r="I186" s="77"/>
      <c r="J186" s="75"/>
      <c r="K186" s="75"/>
      <c r="L186" s="76"/>
      <c r="M186" s="76"/>
      <c r="N186" s="76"/>
      <c r="O186" s="69"/>
    </row>
    <row r="187" spans="1:15" x14ac:dyDescent="0.25">
      <c r="A187" s="69">
        <f t="shared" si="10"/>
        <v>17</v>
      </c>
      <c r="B187" s="69">
        <f t="shared" si="11"/>
        <v>2034</v>
      </c>
      <c r="C187" s="373">
        <f t="shared" si="12"/>
        <v>259954.5907624299</v>
      </c>
      <c r="D187" s="77"/>
      <c r="E187" s="307"/>
      <c r="F187" s="70"/>
      <c r="G187" s="70"/>
      <c r="H187" s="77"/>
      <c r="I187" s="77"/>
      <c r="J187" s="75"/>
      <c r="K187" s="75"/>
      <c r="L187" s="76"/>
      <c r="M187" s="76"/>
      <c r="N187" s="76"/>
      <c r="O187" s="69"/>
    </row>
    <row r="188" spans="1:15" x14ac:dyDescent="0.25">
      <c r="A188" s="69">
        <f t="shared" si="10"/>
        <v>18</v>
      </c>
      <c r="B188" s="69">
        <f t="shared" si="11"/>
        <v>2035</v>
      </c>
      <c r="C188" s="373">
        <f t="shared" si="12"/>
        <v>266636.27080635342</v>
      </c>
      <c r="D188" s="77"/>
      <c r="E188" s="307"/>
      <c r="F188" s="70"/>
      <c r="G188" s="70"/>
      <c r="H188" s="77"/>
      <c r="I188" s="77"/>
      <c r="J188" s="75"/>
      <c r="K188" s="75"/>
      <c r="L188" s="76"/>
      <c r="M188" s="76"/>
      <c r="N188" s="76"/>
      <c r="O188" s="69"/>
    </row>
    <row r="189" spans="1:15" x14ac:dyDescent="0.25">
      <c r="A189" s="69">
        <f t="shared" si="10"/>
        <v>19</v>
      </c>
      <c r="B189" s="69">
        <f t="shared" si="11"/>
        <v>2036</v>
      </c>
      <c r="C189" s="373">
        <f t="shared" si="12"/>
        <v>273489.69179964211</v>
      </c>
      <c r="D189" s="77"/>
      <c r="E189" s="307"/>
      <c r="F189" s="70"/>
      <c r="G189" s="70"/>
      <c r="H189" s="77"/>
      <c r="I189" s="77"/>
      <c r="J189" s="75"/>
      <c r="K189" s="75"/>
      <c r="L189" s="76"/>
      <c r="M189" s="76"/>
      <c r="N189" s="76"/>
      <c r="O189" s="69"/>
    </row>
    <row r="190" spans="1:15" x14ac:dyDescent="0.25">
      <c r="A190" s="69">
        <f t="shared" si="10"/>
        <v>20</v>
      </c>
      <c r="B190" s="69">
        <f t="shared" si="11"/>
        <v>2037</v>
      </c>
      <c r="C190" s="373">
        <f t="shared" si="12"/>
        <v>280519.26804431202</v>
      </c>
      <c r="D190" s="77"/>
      <c r="E190" s="307"/>
      <c r="F190" s="70"/>
      <c r="G190" s="70"/>
      <c r="H190" s="77"/>
      <c r="I190" s="77"/>
      <c r="J190" s="75"/>
      <c r="K190" s="75"/>
      <c r="L190" s="76"/>
      <c r="M190" s="76"/>
      <c r="N190" s="76"/>
      <c r="O190" s="69"/>
    </row>
    <row r="191" spans="1:15" x14ac:dyDescent="0.25">
      <c r="A191" s="69">
        <f t="shared" si="10"/>
        <v>21</v>
      </c>
      <c r="B191" s="69">
        <f t="shared" si="11"/>
        <v>2038</v>
      </c>
      <c r="C191" s="373">
        <f t="shared" si="12"/>
        <v>287729.52730432508</v>
      </c>
      <c r="D191" s="77"/>
      <c r="E191" s="307"/>
      <c r="F191" s="70"/>
      <c r="G191" s="70"/>
      <c r="H191" s="77"/>
      <c r="I191" s="77"/>
      <c r="J191" s="75"/>
      <c r="K191" s="75"/>
      <c r="L191" s="76"/>
      <c r="M191" s="76"/>
      <c r="N191" s="76"/>
      <c r="O191" s="69"/>
    </row>
    <row r="192" spans="1:15" x14ac:dyDescent="0.25">
      <c r="A192" s="69">
        <f t="shared" si="10"/>
        <v>22</v>
      </c>
      <c r="B192" s="69">
        <f t="shared" si="11"/>
        <v>2039</v>
      </c>
      <c r="C192" s="373">
        <f t="shared" si="12"/>
        <v>295125.11372193071</v>
      </c>
      <c r="D192" s="77"/>
      <c r="E192" s="307"/>
      <c r="F192" s="70"/>
      <c r="G192" s="70"/>
      <c r="H192" s="77"/>
      <c r="I192" s="77"/>
      <c r="J192" s="75"/>
      <c r="K192" s="75"/>
      <c r="L192" s="76"/>
      <c r="M192" s="76"/>
      <c r="N192" s="76"/>
      <c r="O192" s="69"/>
    </row>
    <row r="193" spans="1:15" x14ac:dyDescent="0.25">
      <c r="A193" s="69">
        <f t="shared" si="10"/>
        <v>23</v>
      </c>
      <c r="B193" s="69">
        <f t="shared" si="11"/>
        <v>2040</v>
      </c>
      <c r="C193" s="373">
        <f t="shared" si="12"/>
        <v>302710.79080896708</v>
      </c>
      <c r="D193" s="77"/>
      <c r="E193" s="307"/>
      <c r="F193" s="70"/>
      <c r="G193" s="70"/>
      <c r="H193" s="77"/>
      <c r="I193" s="77"/>
      <c r="J193" s="75"/>
      <c r="K193" s="75"/>
      <c r="L193" s="76"/>
      <c r="M193" s="76"/>
      <c r="N193" s="76"/>
      <c r="O193" s="69"/>
    </row>
    <row r="194" spans="1:15" x14ac:dyDescent="0.25">
      <c r="A194" s="69">
        <f t="shared" si="10"/>
        <v>24</v>
      </c>
      <c r="B194" s="69">
        <f t="shared" si="11"/>
        <v>2041</v>
      </c>
      <c r="C194" s="373">
        <f t="shared" si="12"/>
        <v>310491.44451504853</v>
      </c>
      <c r="D194" s="77"/>
      <c r="E194" s="307"/>
      <c r="F194" s="70"/>
      <c r="G194" s="70"/>
      <c r="H194" s="77"/>
      <c r="I194" s="77"/>
      <c r="J194" s="75"/>
      <c r="K194" s="75"/>
      <c r="L194" s="76"/>
      <c r="M194" s="76"/>
      <c r="N194" s="76"/>
      <c r="O194" s="69"/>
    </row>
    <row r="195" spans="1:15" x14ac:dyDescent="0.25">
      <c r="A195" s="69">
        <f t="shared" si="10"/>
        <v>25</v>
      </c>
      <c r="B195" s="69">
        <f t="shared" si="11"/>
        <v>2042</v>
      </c>
      <c r="C195" s="373">
        <f t="shared" si="12"/>
        <v>318472.08637461526</v>
      </c>
      <c r="D195" s="77"/>
      <c r="E195" s="307"/>
      <c r="F195" s="70"/>
      <c r="G195" s="70"/>
      <c r="H195" s="77"/>
      <c r="I195" s="77"/>
      <c r="J195" s="75"/>
      <c r="K195" s="75"/>
      <c r="L195" s="76"/>
      <c r="M195" s="76"/>
      <c r="N195" s="76"/>
      <c r="O195" s="69"/>
    </row>
    <row r="196" spans="1:15" x14ac:dyDescent="0.25">
      <c r="A196" s="69">
        <f t="shared" si="10"/>
        <v>26</v>
      </c>
      <c r="B196" s="69">
        <f t="shared" si="11"/>
        <v>2043</v>
      </c>
      <c r="C196" s="373">
        <f t="shared" si="12"/>
        <v>326657.85673487274</v>
      </c>
      <c r="D196" s="77"/>
      <c r="E196" s="307"/>
      <c r="F196" s="70"/>
      <c r="G196" s="70"/>
      <c r="H196" s="77"/>
      <c r="I196" s="77"/>
      <c r="J196" s="75"/>
      <c r="K196" s="75"/>
      <c r="L196" s="76"/>
      <c r="M196" s="76"/>
      <c r="N196" s="76"/>
      <c r="O196" s="69"/>
    </row>
    <row r="197" spans="1:15" x14ac:dyDescent="0.25">
      <c r="A197" s="69">
        <f t="shared" si="10"/>
        <v>27</v>
      </c>
      <c r="B197" s="69">
        <f t="shared" si="11"/>
        <v>2044</v>
      </c>
      <c r="C197" s="373">
        <f t="shared" si="12"/>
        <v>335054.02806669933</v>
      </c>
      <c r="D197" s="77"/>
      <c r="E197" s="307"/>
      <c r="F197" s="70"/>
      <c r="G197" s="70"/>
      <c r="H197" s="77"/>
      <c r="I197" s="77"/>
      <c r="J197" s="75"/>
      <c r="K197" s="75"/>
      <c r="L197" s="76"/>
      <c r="M197" s="76"/>
      <c r="N197" s="76"/>
      <c r="O197" s="69"/>
    </row>
    <row r="198" spans="1:15" x14ac:dyDescent="0.25">
      <c r="A198" s="69">
        <f t="shared" si="10"/>
        <v>28</v>
      </c>
      <c r="B198" s="69">
        <f t="shared" si="11"/>
        <v>2045</v>
      </c>
      <c r="C198" s="373">
        <f t="shared" si="12"/>
        <v>343666.0083606554</v>
      </c>
      <c r="D198" s="77"/>
      <c r="E198" s="307"/>
      <c r="F198" s="70"/>
      <c r="G198" s="70"/>
      <c r="H198" s="77"/>
      <c r="I198" s="77"/>
      <c r="J198" s="75"/>
      <c r="K198" s="75"/>
      <c r="L198" s="76"/>
      <c r="M198" s="76"/>
      <c r="N198" s="76"/>
      <c r="O198" s="69"/>
    </row>
    <row r="199" spans="1:15" x14ac:dyDescent="0.25">
      <c r="A199" s="69">
        <f t="shared" si="10"/>
        <v>29</v>
      </c>
      <c r="B199" s="69">
        <f t="shared" si="11"/>
        <v>2046</v>
      </c>
      <c r="C199" s="373">
        <f t="shared" si="12"/>
        <v>352499.34461028053</v>
      </c>
      <c r="D199" s="77"/>
      <c r="E199" s="307"/>
      <c r="F199" s="70"/>
      <c r="G199" s="70"/>
      <c r="H199" s="77"/>
      <c r="I199" s="77"/>
      <c r="J199" s="75"/>
      <c r="K199" s="75"/>
      <c r="L199" s="76"/>
      <c r="M199" s="76"/>
      <c r="N199" s="76"/>
      <c r="O199" s="69"/>
    </row>
    <row r="200" spans="1:15" x14ac:dyDescent="0.25">
      <c r="A200" s="69">
        <f t="shared" si="10"/>
        <v>30</v>
      </c>
      <c r="B200" s="69">
        <f t="shared" si="11"/>
        <v>2047</v>
      </c>
      <c r="C200" s="373">
        <f t="shared" si="12"/>
        <v>361559.72638492327</v>
      </c>
      <c r="D200" s="77"/>
      <c r="E200" s="307"/>
      <c r="F200" s="70"/>
      <c r="G200" s="70"/>
      <c r="H200" s="77"/>
      <c r="I200" s="77"/>
      <c r="J200" s="75"/>
      <c r="K200" s="75"/>
      <c r="L200" s="76"/>
      <c r="M200" s="76"/>
      <c r="N200" s="76"/>
      <c r="O200" s="69"/>
    </row>
    <row r="201" spans="1:15" x14ac:dyDescent="0.25">
      <c r="A201" s="69">
        <f t="shared" si="10"/>
        <v>31</v>
      </c>
      <c r="B201" s="69">
        <f t="shared" si="11"/>
        <v>2048</v>
      </c>
      <c r="C201" s="373">
        <f t="shared" si="12"/>
        <v>370852.98949440377</v>
      </c>
      <c r="D201" s="77"/>
      <c r="E201" s="307"/>
      <c r="F201" s="70"/>
      <c r="G201" s="70"/>
      <c r="H201" s="77"/>
      <c r="I201" s="77"/>
      <c r="J201" s="75"/>
      <c r="K201" s="75"/>
      <c r="L201" s="76"/>
      <c r="M201" s="76"/>
      <c r="N201" s="76"/>
      <c r="O201" s="69"/>
    </row>
    <row r="202" spans="1:15" x14ac:dyDescent="0.25">
      <c r="A202" s="69">
        <f t="shared" si="10"/>
        <v>32</v>
      </c>
      <c r="B202" s="69">
        <f t="shared" si="11"/>
        <v>2049</v>
      </c>
      <c r="C202" s="373">
        <f t="shared" si="12"/>
        <v>380385.11974787054</v>
      </c>
      <c r="D202" s="77"/>
      <c r="E202" s="307"/>
      <c r="F202" s="70"/>
      <c r="G202" s="70"/>
      <c r="H202" s="77"/>
      <c r="I202" s="77"/>
      <c r="J202" s="75"/>
      <c r="K202" s="75"/>
      <c r="L202" s="76"/>
      <c r="M202" s="76"/>
      <c r="N202" s="76"/>
      <c r="O202" s="69"/>
    </row>
    <row r="203" spans="1:15" x14ac:dyDescent="0.25">
      <c r="A203" s="69">
        <f t="shared" si="10"/>
        <v>33</v>
      </c>
      <c r="B203" s="69">
        <f t="shared" si="11"/>
        <v>2050</v>
      </c>
      <c r="C203" s="373">
        <f t="shared" si="12"/>
        <v>390162.25680927199</v>
      </c>
      <c r="D203" s="77"/>
      <c r="E203" s="307"/>
      <c r="F203" s="70"/>
      <c r="G203" s="70"/>
      <c r="H203" s="77"/>
      <c r="I203" s="77"/>
      <c r="J203" s="75"/>
      <c r="K203" s="75"/>
      <c r="L203" s="76"/>
      <c r="M203" s="76"/>
      <c r="N203" s="76"/>
      <c r="O203" s="69"/>
    </row>
    <row r="204" spans="1:15" x14ac:dyDescent="0.25">
      <c r="A204" s="69">
        <f t="shared" si="10"/>
        <v>34</v>
      </c>
      <c r="B204" s="69">
        <f t="shared" si="11"/>
        <v>2051</v>
      </c>
      <c r="C204" s="373">
        <f t="shared" si="12"/>
        <v>400190.6981519261</v>
      </c>
      <c r="D204" s="77"/>
      <c r="E204" s="307"/>
      <c r="F204" s="70"/>
      <c r="G204" s="70"/>
      <c r="H204" s="77"/>
      <c r="I204" s="77"/>
      <c r="J204" s="75"/>
      <c r="K204" s="75"/>
      <c r="L204" s="76"/>
      <c r="M204" s="76"/>
      <c r="N204" s="76"/>
      <c r="O204" s="69"/>
    </row>
    <row r="205" spans="1:15" x14ac:dyDescent="0.25">
      <c r="A205" s="69">
        <f t="shared" si="10"/>
        <v>35</v>
      </c>
      <c r="B205" s="69">
        <f t="shared" si="11"/>
        <v>2052</v>
      </c>
      <c r="C205" s="373">
        <f t="shared" si="12"/>
        <v>410476.90311473532</v>
      </c>
      <c r="D205" s="77"/>
      <c r="E205" s="307"/>
      <c r="F205" s="70"/>
      <c r="G205" s="70"/>
      <c r="H205" s="77"/>
      <c r="I205" s="77"/>
      <c r="J205" s="75"/>
      <c r="K205" s="75"/>
      <c r="L205" s="76"/>
      <c r="M205" s="76"/>
      <c r="N205" s="76"/>
      <c r="O205" s="69"/>
    </row>
    <row r="206" spans="1:15" x14ac:dyDescent="0.25">
      <c r="A206" s="69">
        <f t="shared" si="10"/>
        <v>36</v>
      </c>
      <c r="B206" s="69">
        <f t="shared" si="11"/>
        <v>2053</v>
      </c>
      <c r="C206" s="373">
        <f t="shared" si="12"/>
        <v>421027.49706265971</v>
      </c>
      <c r="D206" s="77"/>
      <c r="E206" s="307"/>
      <c r="F206" s="70"/>
      <c r="G206" s="70"/>
      <c r="H206" s="77"/>
      <c r="I206" s="77"/>
      <c r="J206" s="75"/>
      <c r="K206" s="75"/>
      <c r="L206" s="76"/>
      <c r="M206" s="76"/>
      <c r="N206" s="76"/>
      <c r="O206" s="69"/>
    </row>
    <row r="207" spans="1:15" x14ac:dyDescent="0.25">
      <c r="A207" s="69">
        <f t="shared" si="10"/>
        <v>37</v>
      </c>
      <c r="B207" s="69">
        <f t="shared" si="11"/>
        <v>2054</v>
      </c>
      <c r="C207" s="373">
        <f t="shared" si="12"/>
        <v>431849.27565412753</v>
      </c>
      <c r="D207" s="77"/>
      <c r="E207" s="307"/>
      <c r="F207" s="70"/>
      <c r="G207" s="70"/>
      <c r="H207" s="77"/>
      <c r="I207" s="77"/>
      <c r="J207" s="75"/>
      <c r="K207" s="75"/>
      <c r="L207" s="76"/>
      <c r="M207" s="76"/>
      <c r="N207" s="76"/>
      <c r="O207" s="69"/>
    </row>
    <row r="208" spans="1:15" x14ac:dyDescent="0.25">
      <c r="A208" s="69">
        <f t="shared" si="10"/>
        <v>38</v>
      </c>
      <c r="B208" s="69">
        <f t="shared" si="11"/>
        <v>2055</v>
      </c>
      <c r="C208" s="373">
        <f t="shared" si="12"/>
        <v>442949.20921813225</v>
      </c>
      <c r="D208" s="77"/>
      <c r="E208" s="307"/>
      <c r="F208" s="70"/>
      <c r="G208" s="70"/>
      <c r="H208" s="77"/>
      <c r="I208" s="77"/>
      <c r="J208" s="75"/>
      <c r="K208" s="75"/>
      <c r="L208" s="76"/>
      <c r="M208" s="76"/>
      <c r="N208" s="76"/>
      <c r="O208" s="69"/>
    </row>
    <row r="209" spans="1:15" x14ac:dyDescent="0.25">
      <c r="A209" s="69">
        <f t="shared" si="10"/>
        <v>39</v>
      </c>
      <c r="B209" s="69">
        <f t="shared" si="11"/>
        <v>2056</v>
      </c>
      <c r="C209" s="373">
        <f t="shared" si="12"/>
        <v>454334.44724383531</v>
      </c>
      <c r="D209" s="77"/>
      <c r="E209" s="307"/>
      <c r="F209" s="70"/>
      <c r="G209" s="70"/>
      <c r="H209" s="77"/>
      <c r="I209" s="77"/>
      <c r="J209" s="75"/>
      <c r="K209" s="75"/>
      <c r="L209" s="76"/>
      <c r="M209" s="76"/>
      <c r="N209" s="76"/>
      <c r="O209" s="69"/>
    </row>
    <row r="210" spans="1:15" x14ac:dyDescent="0.25">
      <c r="A210" s="69">
        <f t="shared" si="10"/>
        <v>40</v>
      </c>
      <c r="B210" s="69">
        <f t="shared" si="11"/>
        <v>2057</v>
      </c>
      <c r="C210" s="373">
        <f t="shared" si="12"/>
        <v>466012.32298556616</v>
      </c>
      <c r="D210" s="77"/>
      <c r="E210" s="307"/>
      <c r="F210" s="70"/>
      <c r="G210" s="70"/>
      <c r="H210" s="77"/>
      <c r="I210" s="77"/>
      <c r="J210" s="75"/>
      <c r="K210" s="75"/>
      <c r="L210" s="76"/>
      <c r="M210" s="76"/>
      <c r="N210" s="76"/>
      <c r="O210" s="69"/>
    </row>
    <row r="211" spans="1:15" x14ac:dyDescent="0.25">
      <c r="A211" s="69"/>
      <c r="B211" s="70"/>
      <c r="C211" s="70"/>
      <c r="F211" s="70"/>
      <c r="G211" s="70"/>
      <c r="H211" s="77"/>
      <c r="I211" s="77"/>
      <c r="J211" s="75"/>
      <c r="K211" s="75"/>
      <c r="L211" s="76"/>
      <c r="M211" s="76"/>
      <c r="N211" s="76"/>
      <c r="O211" s="69"/>
    </row>
    <row r="212" spans="1:15" s="13" customFormat="1" x14ac:dyDescent="0.25">
      <c r="A212" s="12" t="s">
        <v>93</v>
      </c>
    </row>
    <row r="213" spans="1:15" ht="90" x14ac:dyDescent="0.25">
      <c r="A213" s="78" t="s">
        <v>85</v>
      </c>
      <c r="L213" s="76"/>
      <c r="M213" s="76"/>
      <c r="N213" s="76"/>
      <c r="O213" s="69"/>
    </row>
    <row r="214" spans="1:15" x14ac:dyDescent="0.25">
      <c r="L214" s="76"/>
      <c r="M214" s="76"/>
      <c r="N214" s="76"/>
      <c r="O214" s="69"/>
    </row>
    <row r="215" spans="1:15" x14ac:dyDescent="0.25">
      <c r="A215" t="s">
        <v>469</v>
      </c>
      <c r="B215" s="6">
        <v>19</v>
      </c>
      <c r="L215" s="76"/>
      <c r="M215" s="76"/>
      <c r="N215" s="76"/>
      <c r="O215" s="69"/>
    </row>
    <row r="216" spans="1:15" x14ac:dyDescent="0.25">
      <c r="A216" t="s">
        <v>86</v>
      </c>
      <c r="B216">
        <v>4</v>
      </c>
      <c r="L216" s="76"/>
      <c r="M216" s="76"/>
      <c r="N216" s="76"/>
      <c r="O216" s="69"/>
    </row>
    <row r="217" spans="1:15" x14ac:dyDescent="0.25">
      <c r="A217" t="s">
        <v>87</v>
      </c>
      <c r="B217">
        <v>1</v>
      </c>
      <c r="L217" s="76"/>
      <c r="M217" s="76"/>
      <c r="N217" s="76"/>
      <c r="O217" s="69"/>
    </row>
    <row r="218" spans="1:15" x14ac:dyDescent="0.25">
      <c r="A218" t="s">
        <v>302</v>
      </c>
      <c r="B218">
        <f>B216-B217</f>
        <v>3</v>
      </c>
      <c r="L218" s="76"/>
      <c r="M218" s="76"/>
      <c r="N218" s="76"/>
      <c r="O218" s="69"/>
    </row>
    <row r="219" spans="1:15" x14ac:dyDescent="0.25">
      <c r="A219" t="s">
        <v>88</v>
      </c>
      <c r="B219">
        <v>252</v>
      </c>
      <c r="L219" s="76"/>
      <c r="M219" s="76"/>
      <c r="N219" s="76"/>
      <c r="O219" s="69"/>
    </row>
    <row r="220" spans="1:15" x14ac:dyDescent="0.25">
      <c r="A220" t="s">
        <v>89</v>
      </c>
      <c r="B220" s="170">
        <f>((B216-B217)*B215)*B219</f>
        <v>14364</v>
      </c>
      <c r="L220" s="76"/>
      <c r="M220" s="76"/>
      <c r="N220" s="76"/>
      <c r="O220" s="69"/>
    </row>
    <row r="221" spans="1:15" x14ac:dyDescent="0.25">
      <c r="A221" t="s">
        <v>90</v>
      </c>
      <c r="B221">
        <f>B220/60</f>
        <v>239.4</v>
      </c>
      <c r="L221" s="76"/>
      <c r="M221" s="76"/>
      <c r="N221" s="76"/>
      <c r="O221" s="69"/>
    </row>
    <row r="222" spans="1:15" x14ac:dyDescent="0.25">
      <c r="L222" s="76"/>
      <c r="M222" s="76"/>
      <c r="N222" s="76"/>
      <c r="O222" s="69"/>
    </row>
    <row r="223" spans="1:15" x14ac:dyDescent="0.25">
      <c r="A223" t="s">
        <v>90</v>
      </c>
      <c r="B223">
        <f>B221</f>
        <v>239.4</v>
      </c>
      <c r="L223" s="76"/>
      <c r="M223" s="76"/>
      <c r="N223" s="76"/>
      <c r="O223" s="69"/>
    </row>
    <row r="224" spans="1:15" x14ac:dyDescent="0.25">
      <c r="A224" t="s">
        <v>91</v>
      </c>
      <c r="B224" s="509">
        <v>22.98</v>
      </c>
      <c r="L224" s="76"/>
      <c r="M224" s="76"/>
      <c r="N224" s="76"/>
      <c r="O224" s="69"/>
    </row>
    <row r="225" spans="1:15" x14ac:dyDescent="0.25">
      <c r="A225" t="s">
        <v>64</v>
      </c>
      <c r="B225" s="85">
        <v>0.47199999999999998</v>
      </c>
      <c r="L225" s="76"/>
      <c r="M225" s="76"/>
      <c r="N225" s="76"/>
      <c r="O225" s="69"/>
    </row>
    <row r="226" spans="1:15" x14ac:dyDescent="0.25">
      <c r="A226" t="s">
        <v>65</v>
      </c>
      <c r="B226">
        <v>1</v>
      </c>
      <c r="C226" t="s">
        <v>92</v>
      </c>
      <c r="L226" s="76"/>
      <c r="M226" s="76"/>
      <c r="N226" s="76"/>
      <c r="O226" s="69"/>
    </row>
    <row r="227" spans="1:15" x14ac:dyDescent="0.25">
      <c r="A227" t="s">
        <v>67</v>
      </c>
      <c r="B227" s="509">
        <v>2.56</v>
      </c>
      <c r="L227" s="76"/>
      <c r="M227" s="76"/>
      <c r="N227" s="76"/>
      <c r="O227" s="69"/>
    </row>
    <row r="228" spans="1:15" x14ac:dyDescent="0.25">
      <c r="A228" s="512" t="s">
        <v>69</v>
      </c>
      <c r="B228" s="513">
        <f>(B224*(1+B225))*B221</f>
        <v>8098.0784640000002</v>
      </c>
      <c r="C228" s="68"/>
      <c r="L228" s="76"/>
      <c r="M228" s="76"/>
      <c r="N228" s="76"/>
      <c r="O228" s="69"/>
    </row>
    <row r="229" spans="1:15" x14ac:dyDescent="0.25">
      <c r="A229" s="512" t="s">
        <v>70</v>
      </c>
      <c r="B229" s="514">
        <f>B221*(B226*B227)</f>
        <v>612.86400000000003</v>
      </c>
      <c r="C229" s="68"/>
      <c r="L229" s="76"/>
      <c r="M229" s="76"/>
      <c r="N229" s="76"/>
      <c r="O229" s="69"/>
    </row>
    <row r="230" spans="1:15" s="6" customFormat="1" x14ac:dyDescent="0.25">
      <c r="A230" s="69" t="s">
        <v>303</v>
      </c>
      <c r="B230" s="309">
        <f>B228+B229</f>
        <v>8710.9424639999997</v>
      </c>
      <c r="C230" s="69"/>
      <c r="L230" s="76"/>
      <c r="M230" s="76"/>
      <c r="N230" s="76"/>
      <c r="O230" s="69"/>
    </row>
    <row r="231" spans="1:15" s="6" customFormat="1" x14ac:dyDescent="0.25">
      <c r="A231" s="69"/>
      <c r="B231" s="309"/>
      <c r="L231" s="76"/>
      <c r="M231" s="76"/>
      <c r="N231" s="76"/>
      <c r="O231" s="69"/>
    </row>
    <row r="232" spans="1:15" s="6" customFormat="1" x14ac:dyDescent="0.25">
      <c r="A232" s="69"/>
      <c r="B232" s="309"/>
      <c r="C232" s="359" t="s">
        <v>322</v>
      </c>
      <c r="D232" s="359" t="s">
        <v>323</v>
      </c>
      <c r="L232" s="76"/>
      <c r="M232" s="76"/>
      <c r="N232" s="76"/>
      <c r="O232" s="69"/>
    </row>
    <row r="233" spans="1:15" s="6" customFormat="1" x14ac:dyDescent="0.25">
      <c r="A233" s="69">
        <v>1</v>
      </c>
      <c r="B233" s="69">
        <v>2018</v>
      </c>
      <c r="C233" s="159"/>
      <c r="D233" s="159"/>
      <c r="L233" s="76"/>
      <c r="M233" s="76"/>
      <c r="N233" s="76"/>
      <c r="O233" s="69"/>
    </row>
    <row r="234" spans="1:15" s="6" customFormat="1" x14ac:dyDescent="0.25">
      <c r="A234" s="69">
        <f t="shared" ref="A234:A272" si="13">A233+1</f>
        <v>2</v>
      </c>
      <c r="B234" s="69">
        <f t="shared" ref="B234:B272" si="14">B233+1</f>
        <v>2019</v>
      </c>
      <c r="C234" s="159"/>
      <c r="D234" s="159"/>
      <c r="L234" s="76"/>
      <c r="M234" s="76"/>
      <c r="N234" s="76"/>
      <c r="O234" s="69"/>
    </row>
    <row r="235" spans="1:15" s="6" customFormat="1" x14ac:dyDescent="0.25">
      <c r="A235" s="69">
        <f t="shared" si="13"/>
        <v>3</v>
      </c>
      <c r="B235" s="69">
        <f t="shared" si="14"/>
        <v>2020</v>
      </c>
      <c r="C235" s="159"/>
      <c r="D235" s="159"/>
      <c r="L235" s="76"/>
      <c r="M235" s="76"/>
      <c r="N235" s="76"/>
      <c r="O235" s="69"/>
    </row>
    <row r="236" spans="1:15" s="6" customFormat="1" x14ac:dyDescent="0.25">
      <c r="A236" s="69">
        <f t="shared" si="13"/>
        <v>4</v>
      </c>
      <c r="B236" s="69">
        <f t="shared" si="14"/>
        <v>2021</v>
      </c>
      <c r="C236" s="159">
        <f>B228*((1+E48)^3)</f>
        <v>8738.707158908157</v>
      </c>
      <c r="D236" s="159">
        <f>B229*((1+E48)^3)</f>
        <v>661.34689211095906</v>
      </c>
      <c r="L236" s="76"/>
      <c r="M236" s="76"/>
      <c r="N236" s="76"/>
      <c r="O236" s="69"/>
    </row>
    <row r="237" spans="1:15" s="6" customFormat="1" x14ac:dyDescent="0.25">
      <c r="A237" s="69">
        <f t="shared" si="13"/>
        <v>5</v>
      </c>
      <c r="B237" s="69">
        <f t="shared" si="14"/>
        <v>2022</v>
      </c>
      <c r="C237" s="159">
        <f t="shared" ref="C237:C272" si="15">C236*(1+$E$48)</f>
        <v>8963.3204079456773</v>
      </c>
      <c r="D237" s="159">
        <f t="shared" ref="D237:D272" si="16">D236*(1+$E$48)</f>
        <v>678.34566223526531</v>
      </c>
      <c r="L237" s="76"/>
      <c r="M237" s="76"/>
      <c r="N237" s="76"/>
      <c r="O237" s="69"/>
    </row>
    <row r="238" spans="1:15" s="6" customFormat="1" x14ac:dyDescent="0.25">
      <c r="A238" s="69">
        <f t="shared" si="13"/>
        <v>6</v>
      </c>
      <c r="B238" s="69">
        <f t="shared" si="14"/>
        <v>2023</v>
      </c>
      <c r="C238" s="159">
        <f t="shared" si="15"/>
        <v>9193.706949385125</v>
      </c>
      <c r="D238" s="159">
        <f t="shared" si="16"/>
        <v>695.78135614221253</v>
      </c>
      <c r="L238" s="76"/>
      <c r="M238" s="76"/>
      <c r="N238" s="76"/>
      <c r="O238" s="69"/>
    </row>
    <row r="239" spans="1:15" s="6" customFormat="1" x14ac:dyDescent="0.25">
      <c r="A239" s="69">
        <f t="shared" si="13"/>
        <v>7</v>
      </c>
      <c r="B239" s="69">
        <f t="shared" si="14"/>
        <v>2024</v>
      </c>
      <c r="C239" s="159">
        <f t="shared" si="15"/>
        <v>9430.0151756534869</v>
      </c>
      <c r="D239" s="159">
        <f t="shared" si="16"/>
        <v>713.66520419672963</v>
      </c>
      <c r="L239" s="76"/>
      <c r="M239" s="76"/>
      <c r="N239" s="76"/>
      <c r="O239" s="69"/>
    </row>
    <row r="240" spans="1:15" s="6" customFormat="1" x14ac:dyDescent="0.25">
      <c r="A240" s="69">
        <f t="shared" si="13"/>
        <v>8</v>
      </c>
      <c r="B240" s="69">
        <f t="shared" si="14"/>
        <v>2025</v>
      </c>
      <c r="C240" s="159">
        <f t="shared" si="15"/>
        <v>9672.3972933466594</v>
      </c>
      <c r="D240" s="159">
        <f t="shared" si="16"/>
        <v>732.00872542071818</v>
      </c>
      <c r="L240" s="76"/>
      <c r="M240" s="76"/>
      <c r="N240" s="76"/>
      <c r="O240" s="69"/>
    </row>
    <row r="241" spans="1:15" s="6" customFormat="1" x14ac:dyDescent="0.25">
      <c r="A241" s="69">
        <f t="shared" si="13"/>
        <v>9</v>
      </c>
      <c r="B241" s="69">
        <f t="shared" si="14"/>
        <v>2026</v>
      </c>
      <c r="C241" s="159">
        <f t="shared" si="15"/>
        <v>9921.0094212660206</v>
      </c>
      <c r="D241" s="159">
        <f t="shared" si="16"/>
        <v>750.82373491247745</v>
      </c>
      <c r="L241" s="76"/>
      <c r="M241" s="76"/>
      <c r="N241" s="76"/>
      <c r="O241" s="69"/>
    </row>
    <row r="242" spans="1:15" s="6" customFormat="1" x14ac:dyDescent="0.25">
      <c r="A242" s="69">
        <f t="shared" si="13"/>
        <v>10</v>
      </c>
      <c r="B242" s="69">
        <f t="shared" si="14"/>
        <v>2027</v>
      </c>
      <c r="C242" s="159">
        <f t="shared" si="15"/>
        <v>10176.011690974854</v>
      </c>
      <c r="D242" s="159">
        <f t="shared" si="16"/>
        <v>770.12235145683235</v>
      </c>
      <c r="L242" s="76"/>
      <c r="M242" s="76"/>
      <c r="N242" s="76"/>
      <c r="O242" s="69"/>
    </row>
    <row r="243" spans="1:15" s="6" customFormat="1" x14ac:dyDescent="0.25">
      <c r="A243" s="69">
        <f t="shared" si="13"/>
        <v>11</v>
      </c>
      <c r="B243" s="69">
        <f t="shared" si="14"/>
        <v>2028</v>
      </c>
      <c r="C243" s="159">
        <f t="shared" si="15"/>
        <v>10437.568349939409</v>
      </c>
      <c r="D243" s="159">
        <f t="shared" si="16"/>
        <v>789.9170053308668</v>
      </c>
      <c r="L243" s="76"/>
      <c r="M243" s="76"/>
      <c r="N243" s="76"/>
      <c r="O243" s="69"/>
    </row>
    <row r="244" spans="1:15" s="6" customFormat="1" x14ac:dyDescent="0.25">
      <c r="A244" s="69">
        <f t="shared" si="13"/>
        <v>12</v>
      </c>
      <c r="B244" s="69">
        <f t="shared" si="14"/>
        <v>2029</v>
      </c>
      <c r="C244" s="159">
        <f t="shared" si="15"/>
        <v>10705.847867321016</v>
      </c>
      <c r="D244" s="159">
        <f t="shared" si="16"/>
        <v>810.22044631028996</v>
      </c>
      <c r="L244" s="76"/>
      <c r="M244" s="76"/>
      <c r="N244" s="76"/>
      <c r="O244" s="69"/>
    </row>
    <row r="245" spans="1:15" s="6" customFormat="1" x14ac:dyDescent="0.25">
      <c r="A245" s="69">
        <f t="shared" si="13"/>
        <v>13</v>
      </c>
      <c r="B245" s="69">
        <f t="shared" si="14"/>
        <v>2030</v>
      </c>
      <c r="C245" s="159">
        <f t="shared" si="15"/>
        <v>10981.02304248741</v>
      </c>
      <c r="D245" s="159">
        <f t="shared" si="16"/>
        <v>831.04575188159163</v>
      </c>
      <c r="L245" s="76"/>
      <c r="M245" s="76"/>
      <c r="N245" s="76"/>
      <c r="O245" s="69"/>
    </row>
    <row r="246" spans="1:15" s="6" customFormat="1" x14ac:dyDescent="0.25">
      <c r="A246" s="69">
        <f t="shared" si="13"/>
        <v>14</v>
      </c>
      <c r="B246" s="69">
        <f t="shared" si="14"/>
        <v>2031</v>
      </c>
      <c r="C246" s="159">
        <f t="shared" si="15"/>
        <v>11263.271116313143</v>
      </c>
      <c r="D246" s="159">
        <f t="shared" si="16"/>
        <v>852.40633566527742</v>
      </c>
      <c r="L246" s="76"/>
      <c r="M246" s="76"/>
      <c r="N246" s="76"/>
      <c r="O246" s="69"/>
    </row>
    <row r="247" spans="1:15" s="6" customFormat="1" x14ac:dyDescent="0.25">
      <c r="A247" s="69">
        <f t="shared" si="13"/>
        <v>15</v>
      </c>
      <c r="B247" s="69">
        <f t="shared" si="14"/>
        <v>2032</v>
      </c>
      <c r="C247" s="159">
        <f t="shared" si="15"/>
        <v>11552.773885340779</v>
      </c>
      <c r="D247" s="159">
        <f t="shared" si="16"/>
        <v>874.31595605560835</v>
      </c>
      <c r="L247" s="76"/>
      <c r="M247" s="76"/>
      <c r="N247" s="76"/>
      <c r="O247" s="69"/>
    </row>
    <row r="248" spans="1:15" s="6" customFormat="1" x14ac:dyDescent="0.25">
      <c r="A248" s="69">
        <f t="shared" si="13"/>
        <v>16</v>
      </c>
      <c r="B248" s="69">
        <f t="shared" si="14"/>
        <v>2033</v>
      </c>
      <c r="C248" s="159">
        <f t="shared" si="15"/>
        <v>11849.717818876414</v>
      </c>
      <c r="D248" s="159">
        <f t="shared" si="16"/>
        <v>896.78872508240943</v>
      </c>
      <c r="L248" s="76"/>
      <c r="M248" s="76"/>
      <c r="N248" s="76"/>
      <c r="O248" s="69"/>
    </row>
    <row r="249" spans="1:15" s="6" customFormat="1" x14ac:dyDescent="0.25">
      <c r="A249" s="69">
        <f t="shared" si="13"/>
        <v>17</v>
      </c>
      <c r="B249" s="69">
        <f t="shared" si="14"/>
        <v>2034</v>
      </c>
      <c r="C249" s="159">
        <f t="shared" si="15"/>
        <v>12154.294179094917</v>
      </c>
      <c r="D249" s="159">
        <f t="shared" si="16"/>
        <v>919.83911750065613</v>
      </c>
      <c r="L249" s="76"/>
      <c r="M249" s="76"/>
      <c r="N249" s="76"/>
      <c r="O249" s="69"/>
    </row>
    <row r="250" spans="1:15" s="6" customFormat="1" x14ac:dyDescent="0.25">
      <c r="A250" s="69">
        <f t="shared" si="13"/>
        <v>18</v>
      </c>
      <c r="B250" s="69">
        <f t="shared" si="14"/>
        <v>2035</v>
      </c>
      <c r="C250" s="159">
        <f t="shared" si="15"/>
        <v>12466.69914423228</v>
      </c>
      <c r="D250" s="159">
        <f t="shared" si="16"/>
        <v>943.481980113693</v>
      </c>
      <c r="L250" s="76"/>
      <c r="M250" s="76"/>
      <c r="N250" s="76"/>
      <c r="O250" s="69"/>
    </row>
    <row r="251" spans="1:15" s="6" customFormat="1" x14ac:dyDescent="0.25">
      <c r="A251" s="69">
        <f t="shared" si="13"/>
        <v>19</v>
      </c>
      <c r="B251" s="69">
        <f t="shared" si="14"/>
        <v>2036</v>
      </c>
      <c r="C251" s="159">
        <f t="shared" si="15"/>
        <v>12787.133934944404</v>
      </c>
      <c r="D251" s="159">
        <f t="shared" si="16"/>
        <v>967.73254133608862</v>
      </c>
      <c r="L251" s="76"/>
      <c r="M251" s="76"/>
      <c r="N251" s="76"/>
      <c r="O251" s="69"/>
    </row>
    <row r="252" spans="1:15" s="6" customFormat="1" x14ac:dyDescent="0.25">
      <c r="A252" s="69">
        <f t="shared" si="13"/>
        <v>20</v>
      </c>
      <c r="B252" s="69">
        <f t="shared" si="14"/>
        <v>2037</v>
      </c>
      <c r="C252" s="159">
        <f t="shared" si="15"/>
        <v>13115.804943913727</v>
      </c>
      <c r="D252" s="159">
        <f t="shared" si="16"/>
        <v>992.60642100228779</v>
      </c>
      <c r="L252" s="76"/>
      <c r="M252" s="76"/>
      <c r="N252" s="76"/>
      <c r="O252" s="69"/>
    </row>
    <row r="253" spans="1:15" s="6" customFormat="1" x14ac:dyDescent="0.25">
      <c r="A253" s="69">
        <f t="shared" si="13"/>
        <v>21</v>
      </c>
      <c r="B253" s="69">
        <f t="shared" si="14"/>
        <v>2038</v>
      </c>
      <c r="C253" s="159">
        <f t="shared" si="15"/>
        <v>13452.923868787153</v>
      </c>
      <c r="D253" s="159">
        <f t="shared" si="16"/>
        <v>1018.1196404273777</v>
      </c>
      <c r="L253" s="76"/>
      <c r="M253" s="76"/>
      <c r="N253" s="76"/>
      <c r="O253" s="69"/>
    </row>
    <row r="254" spans="1:15" s="6" customFormat="1" x14ac:dyDescent="0.25">
      <c r="A254" s="69">
        <f t="shared" si="13"/>
        <v>22</v>
      </c>
      <c r="B254" s="69">
        <f t="shared" si="14"/>
        <v>2039</v>
      </c>
      <c r="C254" s="159">
        <f t="shared" si="15"/>
        <v>13798.707848530928</v>
      </c>
      <c r="D254" s="159">
        <f t="shared" si="16"/>
        <v>1044.2886327264487</v>
      </c>
      <c r="L254" s="76"/>
      <c r="M254" s="76"/>
      <c r="N254" s="76"/>
      <c r="O254" s="69"/>
    </row>
    <row r="255" spans="1:15" s="6" customFormat="1" x14ac:dyDescent="0.25">
      <c r="A255" s="69">
        <f t="shared" si="13"/>
        <v>23</v>
      </c>
      <c r="B255" s="69">
        <f t="shared" si="14"/>
        <v>2040</v>
      </c>
      <c r="C255" s="159">
        <f t="shared" si="15"/>
        <v>14153.379603290279</v>
      </c>
      <c r="D255" s="159">
        <f t="shared" si="16"/>
        <v>1071.1302533991964</v>
      </c>
      <c r="L255" s="76"/>
      <c r="M255" s="76"/>
      <c r="N255" s="76"/>
      <c r="O255" s="69"/>
    </row>
    <row r="256" spans="1:15" s="6" customFormat="1" x14ac:dyDescent="0.25">
      <c r="A256" s="69">
        <f t="shared" si="13"/>
        <v>24</v>
      </c>
      <c r="B256" s="69">
        <f t="shared" si="14"/>
        <v>2041</v>
      </c>
      <c r="C256" s="159">
        <f t="shared" si="15"/>
        <v>14517.167577843897</v>
      </c>
      <c r="D256" s="159">
        <f t="shared" si="16"/>
        <v>1098.6617911865817</v>
      </c>
      <c r="L256" s="76"/>
      <c r="M256" s="76"/>
      <c r="N256" s="76"/>
      <c r="O256" s="69"/>
    </row>
    <row r="257" spans="1:15" s="6" customFormat="1" x14ac:dyDescent="0.25">
      <c r="A257" s="69">
        <f t="shared" si="13"/>
        <v>25</v>
      </c>
      <c r="B257" s="69">
        <f t="shared" si="14"/>
        <v>2042</v>
      </c>
      <c r="C257" s="159">
        <f t="shared" si="15"/>
        <v>14890.30608874567</v>
      </c>
      <c r="D257" s="159">
        <f t="shared" si="16"/>
        <v>1126.9009792065442</v>
      </c>
      <c r="L257" s="76"/>
      <c r="M257" s="76"/>
      <c r="N257" s="76"/>
      <c r="O257" s="69"/>
    </row>
    <row r="258" spans="1:15" s="6" customFormat="1" x14ac:dyDescent="0.25">
      <c r="A258" s="69">
        <f t="shared" si="13"/>
        <v>26</v>
      </c>
      <c r="B258" s="69">
        <f t="shared" si="14"/>
        <v>2043</v>
      </c>
      <c r="C258" s="159">
        <f t="shared" si="15"/>
        <v>15273.035475248445</v>
      </c>
      <c r="D258" s="159">
        <f t="shared" si="16"/>
        <v>1155.8660063759373</v>
      </c>
      <c r="L258" s="76"/>
      <c r="M258" s="76"/>
      <c r="N258" s="76"/>
      <c r="O258" s="69"/>
    </row>
    <row r="259" spans="1:15" s="6" customFormat="1" x14ac:dyDescent="0.25">
      <c r="A259" s="69">
        <f t="shared" si="13"/>
        <v>27</v>
      </c>
      <c r="B259" s="69">
        <f t="shared" si="14"/>
        <v>2044</v>
      </c>
      <c r="C259" s="159">
        <f t="shared" si="15"/>
        <v>15665.602254107011</v>
      </c>
      <c r="D259" s="159">
        <f t="shared" si="16"/>
        <v>1185.5755291260464</v>
      </c>
      <c r="L259" s="76"/>
      <c r="M259" s="76"/>
      <c r="N259" s="76"/>
      <c r="O259" s="69"/>
    </row>
    <row r="260" spans="1:15" s="6" customFormat="1" x14ac:dyDescent="0.25">
      <c r="A260" s="69">
        <f t="shared" si="13"/>
        <v>28</v>
      </c>
      <c r="B260" s="69">
        <f t="shared" si="14"/>
        <v>2045</v>
      </c>
      <c r="C260" s="159">
        <f t="shared" si="15"/>
        <v>16068.259278360025</v>
      </c>
      <c r="D260" s="159">
        <f t="shared" si="16"/>
        <v>1216.0486834192325</v>
      </c>
      <c r="L260" s="76"/>
      <c r="M260" s="76"/>
      <c r="N260" s="76"/>
      <c r="O260" s="69"/>
    </row>
    <row r="261" spans="1:15" s="6" customFormat="1" x14ac:dyDescent="0.25">
      <c r="A261" s="69">
        <f t="shared" si="13"/>
        <v>29</v>
      </c>
      <c r="B261" s="69">
        <f t="shared" si="14"/>
        <v>2046</v>
      </c>
      <c r="C261" s="159">
        <f t="shared" si="15"/>
        <v>16481.265900193164</v>
      </c>
      <c r="D261" s="159">
        <f t="shared" si="16"/>
        <v>1247.3050970744441</v>
      </c>
      <c r="L261" s="76"/>
      <c r="M261" s="76"/>
      <c r="N261" s="76"/>
      <c r="O261" s="69"/>
    </row>
    <row r="262" spans="1:15" s="6" customFormat="1" x14ac:dyDescent="0.25">
      <c r="A262" s="69">
        <f t="shared" si="13"/>
        <v>30</v>
      </c>
      <c r="B262" s="69">
        <f t="shared" si="14"/>
        <v>2047</v>
      </c>
      <c r="C262" s="159">
        <f t="shared" si="15"/>
        <v>16904.888137988371</v>
      </c>
      <c r="D262" s="159">
        <f t="shared" si="16"/>
        <v>1279.3649024095339</v>
      </c>
      <c r="L262" s="76"/>
      <c r="M262" s="76"/>
      <c r="N262" s="76"/>
      <c r="O262" s="69"/>
    </row>
    <row r="263" spans="1:15" s="6" customFormat="1" x14ac:dyDescent="0.25">
      <c r="A263" s="69">
        <f t="shared" si="13"/>
        <v>31</v>
      </c>
      <c r="B263" s="69">
        <f t="shared" si="14"/>
        <v>2048</v>
      </c>
      <c r="C263" s="159">
        <f t="shared" si="15"/>
        <v>17339.398847666827</v>
      </c>
      <c r="D263" s="159">
        <f t="shared" si="16"/>
        <v>1312.248749208524</v>
      </c>
      <c r="L263" s="76"/>
      <c r="M263" s="76"/>
      <c r="N263" s="76"/>
      <c r="O263" s="69"/>
    </row>
    <row r="264" spans="1:15" s="6" customFormat="1" x14ac:dyDescent="0.25">
      <c r="A264" s="69">
        <f t="shared" si="13"/>
        <v>32</v>
      </c>
      <c r="B264" s="69">
        <f t="shared" si="14"/>
        <v>2049</v>
      </c>
      <c r="C264" s="159">
        <f t="shared" si="15"/>
        <v>17785.077898435989</v>
      </c>
      <c r="D264" s="159">
        <f t="shared" si="16"/>
        <v>1345.977818022174</v>
      </c>
      <c r="L264" s="76"/>
      <c r="M264" s="76"/>
      <c r="N264" s="76"/>
      <c r="O264" s="69"/>
    </row>
    <row r="265" spans="1:15" s="6" customFormat="1" x14ac:dyDescent="0.25">
      <c r="A265" s="69">
        <f t="shared" si="13"/>
        <v>33</v>
      </c>
      <c r="B265" s="69">
        <f t="shared" si="14"/>
        <v>2050</v>
      </c>
      <c r="C265" s="159">
        <f t="shared" si="15"/>
        <v>18242.212353053899</v>
      </c>
      <c r="D265" s="159">
        <f t="shared" si="16"/>
        <v>1380.573833810414</v>
      </c>
      <c r="L265" s="76"/>
      <c r="M265" s="76"/>
      <c r="N265" s="76"/>
      <c r="O265" s="69"/>
    </row>
    <row r="266" spans="1:15" s="6" customFormat="1" x14ac:dyDescent="0.25">
      <c r="A266" s="69">
        <f t="shared" si="13"/>
        <v>34</v>
      </c>
      <c r="B266" s="69">
        <f t="shared" si="14"/>
        <v>2051</v>
      </c>
      <c r="C266" s="159">
        <f t="shared" si="15"/>
        <v>18711.096652726868</v>
      </c>
      <c r="D266" s="159">
        <f t="shared" si="16"/>
        <v>1416.0590799354354</v>
      </c>
      <c r="L266" s="76"/>
      <c r="M266" s="76"/>
      <c r="N266" s="76"/>
      <c r="O266" s="69"/>
    </row>
    <row r="267" spans="1:15" s="6" customFormat="1" x14ac:dyDescent="0.25">
      <c r="A267" s="69">
        <f t="shared" si="13"/>
        <v>35</v>
      </c>
      <c r="B267" s="69">
        <f t="shared" si="14"/>
        <v>2052</v>
      </c>
      <c r="C267" s="159">
        <f t="shared" si="15"/>
        <v>19192.032806759653</v>
      </c>
      <c r="D267" s="159">
        <f t="shared" si="16"/>
        <v>1452.4564125144482</v>
      </c>
      <c r="L267" s="76"/>
      <c r="M267" s="76"/>
      <c r="N267" s="76"/>
      <c r="O267" s="69"/>
    </row>
    <row r="268" spans="1:15" s="6" customFormat="1" x14ac:dyDescent="0.25">
      <c r="A268" s="69">
        <f t="shared" si="13"/>
        <v>36</v>
      </c>
      <c r="B268" s="69">
        <f t="shared" si="14"/>
        <v>2053</v>
      </c>
      <c r="C268" s="159">
        <f t="shared" si="15"/>
        <v>19685.330587080232</v>
      </c>
      <c r="D268" s="159">
        <f t="shared" si="16"/>
        <v>1489.789275141351</v>
      </c>
      <c r="L268" s="76"/>
      <c r="M268" s="76"/>
      <c r="N268" s="76"/>
      <c r="O268" s="69"/>
    </row>
    <row r="269" spans="1:15" s="6" customFormat="1" x14ac:dyDescent="0.25">
      <c r="A269" s="69">
        <f t="shared" si="13"/>
        <v>37</v>
      </c>
      <c r="B269" s="69">
        <f t="shared" si="14"/>
        <v>2054</v>
      </c>
      <c r="C269" s="159">
        <f t="shared" si="15"/>
        <v>20191.307727764532</v>
      </c>
      <c r="D269" s="159">
        <f t="shared" si="16"/>
        <v>1528.0817139867968</v>
      </c>
      <c r="L269" s="76"/>
      <c r="M269" s="76"/>
      <c r="N269" s="76"/>
      <c r="O269" s="69"/>
    </row>
    <row r="270" spans="1:15" s="6" customFormat="1" x14ac:dyDescent="0.25">
      <c r="A270" s="69">
        <f t="shared" si="13"/>
        <v>38</v>
      </c>
      <c r="B270" s="69">
        <f t="shared" si="14"/>
        <v>2055</v>
      </c>
      <c r="C270" s="159">
        <f t="shared" si="15"/>
        <v>20710.290129689558</v>
      </c>
      <c r="D270" s="159">
        <f t="shared" si="16"/>
        <v>1567.3583932863787</v>
      </c>
      <c r="L270" s="76"/>
      <c r="M270" s="76"/>
      <c r="N270" s="76"/>
      <c r="O270" s="69"/>
    </row>
    <row r="271" spans="1:15" s="6" customFormat="1" x14ac:dyDescent="0.25">
      <c r="A271" s="69">
        <f t="shared" si="13"/>
        <v>39</v>
      </c>
      <c r="B271" s="69">
        <f t="shared" si="14"/>
        <v>2056</v>
      </c>
      <c r="C271" s="159">
        <f t="shared" si="15"/>
        <v>21242.612070446805</v>
      </c>
      <c r="D271" s="159">
        <f t="shared" si="16"/>
        <v>1607.644611226913</v>
      </c>
      <c r="L271" s="76"/>
      <c r="M271" s="76"/>
      <c r="N271" s="76"/>
      <c r="O271" s="69"/>
    </row>
    <row r="272" spans="1:15" s="6" customFormat="1" x14ac:dyDescent="0.25">
      <c r="A272" s="69">
        <f t="shared" si="13"/>
        <v>40</v>
      </c>
      <c r="B272" s="69">
        <f t="shared" si="14"/>
        <v>2057</v>
      </c>
      <c r="C272" s="159">
        <f t="shared" si="15"/>
        <v>21788.616419651116</v>
      </c>
      <c r="D272" s="159">
        <f t="shared" si="16"/>
        <v>1648.9663162410509</v>
      </c>
      <c r="L272" s="76"/>
      <c r="M272" s="76"/>
      <c r="N272" s="76"/>
      <c r="O272" s="69"/>
    </row>
    <row r="273" spans="1:25" s="6" customFormat="1" x14ac:dyDescent="0.25">
      <c r="A273" s="69"/>
      <c r="B273" s="309"/>
      <c r="L273" s="76"/>
      <c r="M273" s="76"/>
      <c r="N273" s="76"/>
      <c r="O273" s="69"/>
    </row>
    <row r="274" spans="1:25" s="6" customFormat="1" x14ac:dyDescent="0.25">
      <c r="A274" s="69"/>
      <c r="B274" s="309"/>
      <c r="L274" s="76"/>
      <c r="M274" s="76"/>
      <c r="N274" s="76"/>
      <c r="O274" s="69"/>
    </row>
    <row r="275" spans="1:25" s="6" customFormat="1" x14ac:dyDescent="0.25">
      <c r="A275" s="69"/>
      <c r="B275" s="72"/>
      <c r="L275" s="76"/>
      <c r="M275" s="76"/>
      <c r="N275" s="76"/>
      <c r="O275" s="69"/>
    </row>
    <row r="276" spans="1:25" s="13" customFormat="1" x14ac:dyDescent="0.25">
      <c r="A276" s="12" t="s">
        <v>154</v>
      </c>
    </row>
    <row r="277" spans="1:25" s="6" customFormat="1" x14ac:dyDescent="0.25">
      <c r="A277" s="69"/>
      <c r="B277" s="72"/>
      <c r="K277" s="69"/>
      <c r="L277" s="76"/>
      <c r="M277" s="76"/>
      <c r="N277" s="76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1:25" s="6" customFormat="1" x14ac:dyDescent="0.25">
      <c r="A278" s="1" t="s">
        <v>155</v>
      </c>
      <c r="B278"/>
      <c r="C278"/>
      <c r="D278"/>
      <c r="E278"/>
      <c r="F278"/>
      <c r="G278"/>
      <c r="H278"/>
      <c r="I278"/>
      <c r="K278" s="69"/>
      <c r="L278" s="76"/>
      <c r="M278" s="76"/>
      <c r="N278" s="76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1:25" s="6" customFormat="1" x14ac:dyDescent="0.25">
      <c r="A279"/>
      <c r="B279"/>
      <c r="C279"/>
      <c r="D279"/>
      <c r="E279"/>
      <c r="F279"/>
      <c r="G279"/>
      <c r="H279"/>
      <c r="I279"/>
      <c r="K279" s="69"/>
      <c r="L279" s="76"/>
      <c r="M279" s="76"/>
      <c r="N279" s="76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1:25" s="6" customFormat="1" x14ac:dyDescent="0.25">
      <c r="A280" s="97" t="s">
        <v>105</v>
      </c>
      <c r="B280"/>
      <c r="C280"/>
      <c r="D280"/>
      <c r="E280"/>
      <c r="F280"/>
      <c r="G280"/>
      <c r="H280"/>
      <c r="I280"/>
      <c r="K280" s="69"/>
      <c r="L280" s="76"/>
      <c r="M280" s="76"/>
      <c r="N280" s="76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1:25" s="6" customFormat="1" x14ac:dyDescent="0.25">
      <c r="A281"/>
      <c r="B281"/>
      <c r="C281"/>
      <c r="D281" s="17" t="s">
        <v>106</v>
      </c>
      <c r="E281"/>
      <c r="F281"/>
      <c r="G281"/>
      <c r="H281"/>
      <c r="I281"/>
      <c r="K281" s="69"/>
      <c r="L281" s="76"/>
      <c r="M281" s="76"/>
      <c r="N281" s="76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1:25" s="6" customFormat="1" x14ac:dyDescent="0.25">
      <c r="A282" s="98" t="s">
        <v>0</v>
      </c>
      <c r="B282" s="98"/>
      <c r="C282" s="98" t="s">
        <v>107</v>
      </c>
      <c r="D282" s="99">
        <v>0.88</v>
      </c>
      <c r="E282" s="100"/>
      <c r="F282"/>
      <c r="G282"/>
      <c r="H282"/>
      <c r="I282"/>
      <c r="K282" s="69"/>
      <c r="L282" s="76"/>
      <c r="M282" s="76"/>
      <c r="N282" s="76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1:25" s="6" customFormat="1" x14ac:dyDescent="0.25">
      <c r="A283"/>
      <c r="B283"/>
      <c r="C283"/>
      <c r="D283"/>
      <c r="E283"/>
      <c r="F283"/>
      <c r="G283"/>
      <c r="H283"/>
      <c r="I283"/>
      <c r="K283" s="69"/>
      <c r="L283" s="76"/>
      <c r="M283" s="76"/>
      <c r="N283" s="76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</row>
    <row r="284" spans="1:25" s="6" customFormat="1" x14ac:dyDescent="0.25">
      <c r="A284">
        <v>2006</v>
      </c>
      <c r="B284"/>
      <c r="C284" s="29">
        <v>3077537</v>
      </c>
      <c r="D284" s="101">
        <f>C284*D$282/(100*7.48)</f>
        <v>3620.6317647058822</v>
      </c>
      <c r="E284"/>
      <c r="F284"/>
      <c r="G284"/>
      <c r="H284"/>
      <c r="I284"/>
      <c r="K284" s="69"/>
      <c r="L284" s="76"/>
      <c r="M284" s="76"/>
      <c r="N284" s="76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</row>
    <row r="285" spans="1:25" s="6" customFormat="1" x14ac:dyDescent="0.25">
      <c r="A285">
        <v>2007</v>
      </c>
      <c r="B285"/>
      <c r="C285" s="29">
        <v>3458752</v>
      </c>
      <c r="D285" s="101">
        <f t="shared" ref="D285:D290" si="17">C285*D$282/(100*7.48)</f>
        <v>4069.1200000000003</v>
      </c>
      <c r="E285"/>
      <c r="F285"/>
      <c r="G285"/>
      <c r="H285"/>
      <c r="I285"/>
      <c r="K285" s="69"/>
      <c r="L285" s="76"/>
      <c r="M285" s="76"/>
      <c r="N285" s="76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</row>
    <row r="286" spans="1:25" s="6" customFormat="1" x14ac:dyDescent="0.25">
      <c r="A286">
        <v>2008</v>
      </c>
      <c r="B286"/>
      <c r="C286" s="29">
        <v>2870824</v>
      </c>
      <c r="D286" s="101">
        <f t="shared" si="17"/>
        <v>3377.44</v>
      </c>
      <c r="E286"/>
      <c r="F286"/>
      <c r="G286"/>
      <c r="H286"/>
      <c r="I286"/>
      <c r="K286" s="69"/>
      <c r="L286" s="76"/>
      <c r="M286" s="76"/>
      <c r="N286" s="76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</row>
    <row r="287" spans="1:25" s="6" customFormat="1" x14ac:dyDescent="0.25">
      <c r="A287">
        <v>2009</v>
      </c>
      <c r="B287"/>
      <c r="C287" s="29">
        <v>3154316</v>
      </c>
      <c r="D287" s="101">
        <f t="shared" si="17"/>
        <v>3710.96</v>
      </c>
      <c r="E287"/>
      <c r="F287"/>
      <c r="G287"/>
      <c r="H287"/>
      <c r="I287"/>
      <c r="K287" s="69"/>
      <c r="L287" s="76"/>
      <c r="M287" s="76"/>
      <c r="N287" s="76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</row>
    <row r="288" spans="1:25" s="6" customFormat="1" x14ac:dyDescent="0.25">
      <c r="A288">
        <v>2010</v>
      </c>
      <c r="B288"/>
      <c r="C288" s="29">
        <v>3354780</v>
      </c>
      <c r="D288" s="101">
        <f t="shared" si="17"/>
        <v>3946.7999999999997</v>
      </c>
      <c r="E288"/>
      <c r="F288"/>
      <c r="G288"/>
      <c r="H288"/>
      <c r="I288"/>
      <c r="K288" s="69"/>
      <c r="L288" s="76"/>
      <c r="M288" s="76"/>
      <c r="N288" s="76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</row>
    <row r="289" spans="1:25" s="6" customFormat="1" x14ac:dyDescent="0.25">
      <c r="A289">
        <v>2011</v>
      </c>
      <c r="B289"/>
      <c r="C289" s="29">
        <v>2622132</v>
      </c>
      <c r="D289" s="101">
        <f t="shared" si="17"/>
        <v>3084.8611764705884</v>
      </c>
      <c r="E289"/>
      <c r="F289"/>
      <c r="G289"/>
      <c r="H289"/>
      <c r="I289"/>
      <c r="K289" s="69"/>
      <c r="L289" s="76"/>
      <c r="M289" s="76"/>
      <c r="N289" s="76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</row>
    <row r="290" spans="1:25" s="6" customFormat="1" x14ac:dyDescent="0.25">
      <c r="A290">
        <v>2012</v>
      </c>
      <c r="B290"/>
      <c r="C290" s="29">
        <v>2731696</v>
      </c>
      <c r="D290" s="117">
        <f t="shared" si="17"/>
        <v>3213.7599999999998</v>
      </c>
      <c r="E290"/>
      <c r="F290"/>
      <c r="G290"/>
      <c r="H290"/>
      <c r="I290"/>
      <c r="K290" s="69"/>
      <c r="L290" s="76"/>
      <c r="M290" s="76"/>
      <c r="N290" s="76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</row>
    <row r="291" spans="1:25" s="6" customFormat="1" x14ac:dyDescent="0.25">
      <c r="A291" s="102" t="s">
        <v>109</v>
      </c>
      <c r="B291" s="103"/>
      <c r="C291" s="104">
        <f>AVERAGE(C284:C290)</f>
        <v>3038576.7142857141</v>
      </c>
      <c r="D291" s="101">
        <f>C291*D$282/(100*7.48)</f>
        <v>3574.7961344537812</v>
      </c>
      <c r="E291" s="103"/>
      <c r="F291" s="106">
        <f>D291</f>
        <v>3574.7961344537812</v>
      </c>
      <c r="G291"/>
      <c r="H291"/>
      <c r="I291"/>
      <c r="K291" s="69"/>
      <c r="L291" s="76"/>
      <c r="M291" s="76"/>
      <c r="N291" s="76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</row>
    <row r="292" spans="1:25" s="6" customFormat="1" x14ac:dyDescent="0.25">
      <c r="A292" s="107"/>
      <c r="B292" s="68"/>
      <c r="C292" s="108"/>
      <c r="D292" s="109"/>
      <c r="E292"/>
      <c r="F292"/>
      <c r="G292"/>
      <c r="H292"/>
      <c r="I292"/>
      <c r="K292" s="69"/>
      <c r="L292" s="76"/>
      <c r="M292" s="76"/>
      <c r="N292" s="76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</row>
    <row r="293" spans="1:25" s="6" customFormat="1" x14ac:dyDescent="0.25">
      <c r="A293" s="97" t="s">
        <v>110</v>
      </c>
      <c r="B293"/>
      <c r="C293"/>
      <c r="D293"/>
      <c r="E293"/>
      <c r="F293"/>
      <c r="G293"/>
      <c r="H293"/>
      <c r="I293"/>
      <c r="K293" s="69"/>
      <c r="L293" s="76"/>
      <c r="M293" s="76"/>
      <c r="N293" s="76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</row>
    <row r="294" spans="1:25" s="6" customFormat="1" x14ac:dyDescent="0.25">
      <c r="A294"/>
      <c r="B294"/>
      <c r="C294"/>
      <c r="D294" t="s">
        <v>111</v>
      </c>
      <c r="E294"/>
      <c r="F294"/>
      <c r="G294"/>
      <c r="H294"/>
      <c r="I294"/>
      <c r="K294" s="69"/>
      <c r="L294" s="76"/>
      <c r="M294" s="76"/>
      <c r="N294" s="76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</row>
    <row r="295" spans="1:25" s="6" customFormat="1" x14ac:dyDescent="0.25">
      <c r="A295" s="98" t="s">
        <v>0</v>
      </c>
      <c r="B295" s="98"/>
      <c r="C295" s="98" t="s">
        <v>112</v>
      </c>
      <c r="D295" s="99">
        <v>6.7</v>
      </c>
      <c r="E295"/>
      <c r="F295"/>
      <c r="G295"/>
      <c r="H295"/>
      <c r="I295"/>
      <c r="K295" s="69"/>
      <c r="L295" s="76"/>
      <c r="M295" s="76"/>
      <c r="N295" s="76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</row>
    <row r="296" spans="1:25" s="6" customFormat="1" x14ac:dyDescent="0.25">
      <c r="A296"/>
      <c r="B296"/>
      <c r="C296"/>
      <c r="D296"/>
      <c r="E296"/>
      <c r="F296"/>
      <c r="G296"/>
      <c r="H296"/>
      <c r="I296"/>
      <c r="K296" s="69"/>
      <c r="L296" s="76"/>
      <c r="M296" s="76"/>
      <c r="N296" s="76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</row>
    <row r="297" spans="1:25" s="6" customFormat="1" x14ac:dyDescent="0.25">
      <c r="A297">
        <v>2008</v>
      </c>
      <c r="B297"/>
      <c r="C297">
        <v>5541.8</v>
      </c>
      <c r="D297" s="101">
        <f>C297*D$295</f>
        <v>37130.060000000005</v>
      </c>
      <c r="E297"/>
      <c r="F297"/>
      <c r="G297"/>
      <c r="H297"/>
      <c r="I297"/>
      <c r="K297" s="69"/>
      <c r="L297" s="76"/>
      <c r="M297" s="76"/>
      <c r="N297" s="76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</row>
    <row r="298" spans="1:25" s="6" customFormat="1" x14ac:dyDescent="0.25">
      <c r="A298">
        <v>2009</v>
      </c>
      <c r="B298"/>
      <c r="C298">
        <v>6478.2</v>
      </c>
      <c r="D298" s="101">
        <f t="shared" ref="D298:D301" si="18">C298*D$295</f>
        <v>43403.94</v>
      </c>
      <c r="E298"/>
      <c r="F298"/>
      <c r="G298"/>
      <c r="H298"/>
      <c r="I298"/>
      <c r="K298" s="69"/>
      <c r="L298" s="76"/>
      <c r="M298" s="76"/>
      <c r="N298" s="76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</row>
    <row r="299" spans="1:25" s="6" customFormat="1" x14ac:dyDescent="0.25">
      <c r="A299">
        <v>2010</v>
      </c>
      <c r="B299"/>
      <c r="C299">
        <v>4193.8</v>
      </c>
      <c r="D299" s="101">
        <f t="shared" si="18"/>
        <v>28098.460000000003</v>
      </c>
      <c r="E299"/>
      <c r="F299"/>
      <c r="G299"/>
      <c r="H299"/>
      <c r="I299"/>
      <c r="K299" s="69"/>
      <c r="L299" s="76"/>
      <c r="M299" s="76"/>
      <c r="N299" s="76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</row>
    <row r="300" spans="1:25" s="6" customFormat="1" x14ac:dyDescent="0.25">
      <c r="A300">
        <v>2011</v>
      </c>
      <c r="B300"/>
      <c r="C300">
        <v>5112.8</v>
      </c>
      <c r="D300" s="117">
        <f t="shared" si="18"/>
        <v>34255.760000000002</v>
      </c>
      <c r="E300"/>
      <c r="F300"/>
      <c r="G300"/>
      <c r="H300"/>
      <c r="I300"/>
      <c r="K300" s="69"/>
      <c r="L300" s="76"/>
      <c r="M300" s="76"/>
      <c r="N300" s="76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</row>
    <row r="301" spans="1:25" s="6" customFormat="1" x14ac:dyDescent="0.25">
      <c r="A301" s="102" t="s">
        <v>109</v>
      </c>
      <c r="B301" s="103"/>
      <c r="C301" s="104">
        <f>AVERAGE(C297:C300)</f>
        <v>5331.65</v>
      </c>
      <c r="D301" s="101">
        <f t="shared" si="18"/>
        <v>35722.055</v>
      </c>
      <c r="E301" s="103"/>
      <c r="F301" s="106">
        <f>D301</f>
        <v>35722.055</v>
      </c>
      <c r="G301"/>
      <c r="H301"/>
      <c r="I301"/>
      <c r="K301" s="69"/>
      <c r="L301" s="76"/>
      <c r="M301" s="76"/>
      <c r="N301" s="76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</row>
    <row r="302" spans="1:25" s="6" customFormat="1" x14ac:dyDescent="0.25">
      <c r="A302"/>
      <c r="B302"/>
      <c r="C302"/>
      <c r="D302"/>
      <c r="E302"/>
      <c r="F302"/>
      <c r="G302"/>
      <c r="H302"/>
      <c r="I302"/>
      <c r="K302" s="69"/>
      <c r="L302" s="76"/>
      <c r="M302" s="76"/>
      <c r="N302" s="76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</row>
    <row r="303" spans="1:25" s="6" customFormat="1" x14ac:dyDescent="0.25">
      <c r="A303" s="97" t="s">
        <v>113</v>
      </c>
      <c r="B303"/>
      <c r="C303"/>
      <c r="D303"/>
      <c r="E303"/>
      <c r="F303"/>
      <c r="G303"/>
      <c r="H303"/>
      <c r="I303"/>
      <c r="K303" s="69"/>
      <c r="L303" s="76"/>
      <c r="M303" s="76"/>
      <c r="N303" s="76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</row>
    <row r="304" spans="1:25" s="6" customFormat="1" x14ac:dyDescent="0.25">
      <c r="A304"/>
      <c r="B304"/>
      <c r="C304"/>
      <c r="D304" s="110" t="s">
        <v>114</v>
      </c>
      <c r="E304"/>
      <c r="F304"/>
      <c r="G304"/>
      <c r="H304"/>
      <c r="I304"/>
      <c r="K304" s="69"/>
      <c r="L304" s="76"/>
      <c r="M304" s="76"/>
      <c r="N304" s="76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</row>
    <row r="305" spans="1:25" s="6" customFormat="1" x14ac:dyDescent="0.25">
      <c r="A305" s="98" t="s">
        <v>0</v>
      </c>
      <c r="B305"/>
      <c r="C305" s="98" t="s">
        <v>115</v>
      </c>
      <c r="D305" s="99">
        <v>0.08</v>
      </c>
      <c r="E305"/>
      <c r="F305"/>
      <c r="G305"/>
      <c r="H305"/>
      <c r="I305"/>
      <c r="K305" s="69"/>
      <c r="L305" s="76"/>
      <c r="M305" s="76"/>
      <c r="N305" s="76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</row>
    <row r="306" spans="1:25" s="6" customFormat="1" x14ac:dyDescent="0.25">
      <c r="A306"/>
      <c r="B306"/>
      <c r="C306"/>
      <c r="D306"/>
      <c r="E306"/>
      <c r="F306"/>
      <c r="G306"/>
      <c r="H306"/>
      <c r="I306"/>
      <c r="K306" s="69"/>
      <c r="L306" s="76"/>
      <c r="M306" s="76"/>
      <c r="N306" s="76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</row>
    <row r="307" spans="1:25" s="6" customFormat="1" x14ac:dyDescent="0.25">
      <c r="A307">
        <v>2003</v>
      </c>
      <c r="B307"/>
      <c r="C307" s="29">
        <v>1235340</v>
      </c>
      <c r="D307" s="101">
        <f>C307*D$305</f>
        <v>98827.199999999997</v>
      </c>
      <c r="E307"/>
      <c r="F307"/>
      <c r="G307"/>
      <c r="H307"/>
      <c r="I307"/>
      <c r="K307" s="69"/>
      <c r="L307" s="76"/>
      <c r="M307" s="76"/>
      <c r="N307" s="76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</row>
    <row r="308" spans="1:25" s="6" customFormat="1" x14ac:dyDescent="0.25">
      <c r="A308">
        <v>2004</v>
      </c>
      <c r="B308"/>
      <c r="C308" s="29">
        <v>1330200</v>
      </c>
      <c r="D308" s="101">
        <f t="shared" ref="D308:D316" si="19">C308*D$305</f>
        <v>106416</v>
      </c>
      <c r="E308"/>
      <c r="F308"/>
      <c r="G308"/>
      <c r="H308"/>
      <c r="I308"/>
      <c r="K308" s="69"/>
      <c r="L308" s="76"/>
      <c r="M308" s="76"/>
      <c r="N308" s="76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</row>
    <row r="309" spans="1:25" s="6" customFormat="1" x14ac:dyDescent="0.25">
      <c r="A309">
        <v>2005</v>
      </c>
      <c r="B309"/>
      <c r="C309" s="29">
        <v>1293300</v>
      </c>
      <c r="D309" s="101">
        <f t="shared" si="19"/>
        <v>103464</v>
      </c>
      <c r="E309"/>
      <c r="F309"/>
      <c r="G309"/>
      <c r="H309"/>
      <c r="I309"/>
      <c r="K309" s="69"/>
      <c r="L309" s="76"/>
      <c r="M309" s="76"/>
      <c r="N309" s="76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</row>
    <row r="310" spans="1:25" s="6" customFormat="1" x14ac:dyDescent="0.25">
      <c r="A310">
        <v>2006</v>
      </c>
      <c r="B310"/>
      <c r="C310" s="29">
        <v>1294000</v>
      </c>
      <c r="D310" s="101">
        <f t="shared" si="19"/>
        <v>103520</v>
      </c>
      <c r="E310"/>
      <c r="F310"/>
      <c r="G310"/>
      <c r="H310"/>
      <c r="I310"/>
      <c r="K310" s="69"/>
      <c r="L310" s="76"/>
      <c r="M310" s="76"/>
      <c r="N310" s="76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</row>
    <row r="311" spans="1:25" s="6" customFormat="1" x14ac:dyDescent="0.25">
      <c r="A311">
        <v>2007</v>
      </c>
      <c r="B311"/>
      <c r="C311" s="29">
        <v>1261620</v>
      </c>
      <c r="D311" s="101">
        <f t="shared" si="19"/>
        <v>100929.60000000001</v>
      </c>
      <c r="E311"/>
      <c r="F311"/>
      <c r="G311"/>
      <c r="H311"/>
      <c r="I311"/>
      <c r="K311" s="69"/>
      <c r="L311" s="76"/>
      <c r="M311" s="76"/>
      <c r="N311" s="76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</row>
    <row r="312" spans="1:25" s="6" customFormat="1" x14ac:dyDescent="0.25">
      <c r="A312">
        <v>2008</v>
      </c>
      <c r="B312"/>
      <c r="C312" s="29">
        <v>1208520</v>
      </c>
      <c r="D312" s="101">
        <f t="shared" si="19"/>
        <v>96681.600000000006</v>
      </c>
      <c r="E312"/>
      <c r="F312"/>
      <c r="G312"/>
      <c r="H312"/>
      <c r="I312"/>
      <c r="K312" s="69"/>
      <c r="L312" s="76"/>
      <c r="M312" s="76"/>
      <c r="N312" s="76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</row>
    <row r="313" spans="1:25" s="6" customFormat="1" x14ac:dyDescent="0.25">
      <c r="A313">
        <v>2009</v>
      </c>
      <c r="B313"/>
      <c r="C313" s="29">
        <v>1092960</v>
      </c>
      <c r="D313" s="101">
        <f t="shared" si="19"/>
        <v>87436.800000000003</v>
      </c>
      <c r="E313"/>
      <c r="F313"/>
      <c r="G313"/>
      <c r="H313"/>
      <c r="I313"/>
      <c r="K313" s="69"/>
      <c r="L313" s="76"/>
      <c r="M313" s="76"/>
      <c r="N313" s="76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</row>
    <row r="314" spans="1:25" s="6" customFormat="1" x14ac:dyDescent="0.25">
      <c r="A314">
        <v>2010</v>
      </c>
      <c r="B314"/>
      <c r="C314" s="29">
        <v>1090897</v>
      </c>
      <c r="D314" s="101">
        <f t="shared" si="19"/>
        <v>87271.76</v>
      </c>
      <c r="E314"/>
      <c r="F314"/>
      <c r="G314"/>
      <c r="H314"/>
      <c r="I314"/>
      <c r="K314" s="69"/>
      <c r="L314" s="76"/>
      <c r="M314" s="76"/>
      <c r="N314" s="76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</row>
    <row r="315" spans="1:25" s="6" customFormat="1" x14ac:dyDescent="0.25">
      <c r="A315">
        <v>2011</v>
      </c>
      <c r="B315"/>
      <c r="C315" s="29">
        <v>928116</v>
      </c>
      <c r="D315" s="117">
        <f t="shared" si="19"/>
        <v>74249.279999999999</v>
      </c>
      <c r="E315"/>
      <c r="F315"/>
      <c r="G315"/>
      <c r="H315"/>
      <c r="I315"/>
      <c r="K315" s="69"/>
      <c r="L315" s="76"/>
      <c r="M315" s="76"/>
      <c r="N315" s="76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</row>
    <row r="316" spans="1:25" s="6" customFormat="1" x14ac:dyDescent="0.25">
      <c r="A316" s="102" t="s">
        <v>109</v>
      </c>
      <c r="B316" s="103"/>
      <c r="C316" s="104">
        <f>AVERAGE(C307:C315)</f>
        <v>1192772.5555555555</v>
      </c>
      <c r="D316" s="101">
        <f t="shared" si="19"/>
        <v>95421.804444444439</v>
      </c>
      <c r="E316" s="103"/>
      <c r="F316" s="106">
        <f>D316</f>
        <v>95421.804444444439</v>
      </c>
      <c r="G316"/>
      <c r="H316"/>
      <c r="I316"/>
      <c r="K316" s="69"/>
      <c r="L316" s="76"/>
      <c r="M316" s="76"/>
      <c r="N316" s="76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</row>
    <row r="317" spans="1:25" s="6" customFormat="1" x14ac:dyDescent="0.25">
      <c r="A317"/>
      <c r="B317"/>
      <c r="C317"/>
      <c r="D317"/>
      <c r="E317" s="103" t="s">
        <v>116</v>
      </c>
      <c r="F317" s="106">
        <f>SUM(F283:F316)</f>
        <v>134718.65557889821</v>
      </c>
      <c r="G317" t="s">
        <v>117</v>
      </c>
      <c r="H317"/>
      <c r="I317"/>
      <c r="K317" s="69"/>
      <c r="L317" s="76"/>
      <c r="M317" s="76"/>
      <c r="N317" s="76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</row>
    <row r="318" spans="1:25" s="6" customFormat="1" x14ac:dyDescent="0.25">
      <c r="A318"/>
      <c r="B318"/>
      <c r="C318"/>
      <c r="D318"/>
      <c r="E318"/>
      <c r="F318"/>
      <c r="G318"/>
      <c r="H318"/>
      <c r="I318"/>
      <c r="K318" s="69"/>
      <c r="L318" s="76"/>
      <c r="M318" s="76"/>
      <c r="N318" s="76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</row>
    <row r="319" spans="1:25" s="6" customFormat="1" x14ac:dyDescent="0.25">
      <c r="A319"/>
      <c r="B319"/>
      <c r="C319"/>
      <c r="D319"/>
      <c r="E319"/>
      <c r="F319"/>
      <c r="G319"/>
      <c r="H319"/>
      <c r="I319"/>
      <c r="K319" s="69"/>
      <c r="L319" s="76"/>
      <c r="M319" s="76"/>
      <c r="N319" s="76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</row>
    <row r="320" spans="1:25" s="6" customFormat="1" x14ac:dyDescent="0.25">
      <c r="A320" s="97" t="s">
        <v>156</v>
      </c>
      <c r="B320"/>
      <c r="C320"/>
      <c r="D320"/>
      <c r="E320"/>
      <c r="F320"/>
      <c r="G320"/>
      <c r="H320"/>
      <c r="I320"/>
      <c r="K320" s="69"/>
      <c r="L320" s="76"/>
      <c r="M320" s="76"/>
      <c r="N320" s="76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</row>
    <row r="321" spans="1:25" s="6" customFormat="1" x14ac:dyDescent="0.25">
      <c r="A321" s="97"/>
      <c r="B321"/>
      <c r="C321"/>
      <c r="D321"/>
      <c r="E321"/>
      <c r="F321"/>
      <c r="G321"/>
      <c r="H321"/>
      <c r="I321"/>
      <c r="K321" s="69"/>
      <c r="L321" s="76"/>
      <c r="M321" s="76"/>
      <c r="N321" s="76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</row>
    <row r="322" spans="1:25" s="6" customFormat="1" x14ac:dyDescent="0.25">
      <c r="A322" s="98" t="s">
        <v>0</v>
      </c>
      <c r="B322" s="98" t="s">
        <v>157</v>
      </c>
      <c r="C322" s="98" t="s">
        <v>158</v>
      </c>
      <c r="D322" s="98" t="s">
        <v>159</v>
      </c>
      <c r="E322" s="98" t="s">
        <v>23</v>
      </c>
      <c r="F322"/>
      <c r="G322"/>
      <c r="H322"/>
      <c r="I322"/>
      <c r="K322" s="69"/>
      <c r="L322" s="76"/>
      <c r="M322" s="76"/>
      <c r="N322" s="76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</row>
    <row r="323" spans="1:25" s="6" customFormat="1" x14ac:dyDescent="0.25">
      <c r="A323">
        <v>2008</v>
      </c>
      <c r="B323" s="2">
        <f>D286</f>
        <v>3377.44</v>
      </c>
      <c r="C323" s="2">
        <f>D297</f>
        <v>37130.060000000005</v>
      </c>
      <c r="D323" s="2">
        <f>D312</f>
        <v>96681.600000000006</v>
      </c>
      <c r="E323" s="2">
        <f>SUM(B323:D323)</f>
        <v>137189.1</v>
      </c>
      <c r="F323"/>
      <c r="G323"/>
      <c r="H323"/>
      <c r="I323"/>
      <c r="K323" s="69"/>
      <c r="L323" s="76"/>
      <c r="M323" s="76"/>
      <c r="N323" s="76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</row>
    <row r="324" spans="1:25" s="6" customFormat="1" x14ac:dyDescent="0.25">
      <c r="A324">
        <v>2009</v>
      </c>
      <c r="B324" s="2">
        <f t="shared" ref="B324:B326" si="20">D287</f>
        <v>3710.96</v>
      </c>
      <c r="C324" s="2">
        <f t="shared" ref="C324:C326" si="21">D298</f>
        <v>43403.94</v>
      </c>
      <c r="D324" s="2">
        <f t="shared" ref="D324:D326" si="22">D313</f>
        <v>87436.800000000003</v>
      </c>
      <c r="E324" s="2">
        <f t="shared" ref="E324:E326" si="23">SUM(B324:D324)</f>
        <v>134551.70000000001</v>
      </c>
      <c r="F324"/>
      <c r="G324"/>
      <c r="H324"/>
      <c r="I324"/>
      <c r="K324" s="69"/>
      <c r="L324" s="76"/>
      <c r="M324" s="76"/>
      <c r="N324" s="76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</row>
    <row r="325" spans="1:25" s="6" customFormat="1" x14ac:dyDescent="0.25">
      <c r="A325">
        <v>2010</v>
      </c>
      <c r="B325" s="2">
        <f t="shared" si="20"/>
        <v>3946.7999999999997</v>
      </c>
      <c r="C325" s="2">
        <f t="shared" si="21"/>
        <v>28098.460000000003</v>
      </c>
      <c r="D325" s="2">
        <f t="shared" si="22"/>
        <v>87271.76</v>
      </c>
      <c r="E325" s="2">
        <f t="shared" si="23"/>
        <v>119317.01999999999</v>
      </c>
      <c r="F325"/>
      <c r="G325"/>
      <c r="H325"/>
      <c r="I325"/>
      <c r="K325" s="69"/>
      <c r="L325" s="76"/>
      <c r="M325" s="76"/>
      <c r="N325" s="76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</row>
    <row r="326" spans="1:25" s="6" customFormat="1" x14ac:dyDescent="0.25">
      <c r="A326">
        <v>2011</v>
      </c>
      <c r="B326" s="2">
        <f t="shared" si="20"/>
        <v>3084.8611764705884</v>
      </c>
      <c r="C326" s="2">
        <f t="shared" si="21"/>
        <v>34255.760000000002</v>
      </c>
      <c r="D326" s="2">
        <f t="shared" si="22"/>
        <v>74249.279999999999</v>
      </c>
      <c r="E326" s="2">
        <f t="shared" si="23"/>
        <v>111589.90117647059</v>
      </c>
      <c r="F326"/>
      <c r="G326"/>
      <c r="H326"/>
      <c r="I326"/>
      <c r="K326" s="69"/>
      <c r="L326" s="76"/>
      <c r="M326" s="76"/>
      <c r="N326" s="76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</row>
    <row r="327" spans="1:25" s="6" customFormat="1" x14ac:dyDescent="0.25">
      <c r="A327" s="102" t="s">
        <v>109</v>
      </c>
      <c r="B327" s="106">
        <f>AVERAGE(B323:B326)</f>
        <v>3530.0152941176466</v>
      </c>
      <c r="C327" s="106">
        <f t="shared" ref="C327:D327" si="24">AVERAGE(C323:C326)</f>
        <v>35722.055</v>
      </c>
      <c r="D327" s="106">
        <f t="shared" si="24"/>
        <v>86409.860000000015</v>
      </c>
      <c r="E327" s="106">
        <f>SUM(B327:D327)</f>
        <v>125661.93029411766</v>
      </c>
      <c r="F327" s="2">
        <f>AVERAGE(E323:E326)</f>
        <v>125661.93029411766</v>
      </c>
      <c r="G327"/>
      <c r="H327"/>
      <c r="I327"/>
      <c r="K327" s="69"/>
      <c r="L327" s="76"/>
      <c r="M327" s="76"/>
      <c r="N327" s="76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</row>
    <row r="328" spans="1:25" s="6" customFormat="1" x14ac:dyDescent="0.25">
      <c r="A328"/>
      <c r="B328"/>
      <c r="C328"/>
      <c r="D328"/>
      <c r="E328"/>
      <c r="F328"/>
      <c r="G328"/>
      <c r="H328"/>
      <c r="I328"/>
      <c r="K328" s="69"/>
      <c r="L328" s="76"/>
      <c r="M328" s="76"/>
      <c r="N328" s="76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</row>
    <row r="329" spans="1:25" s="6" customFormat="1" x14ac:dyDescent="0.25">
      <c r="A329" s="69"/>
      <c r="B329" s="72"/>
      <c r="K329" s="69"/>
      <c r="L329" s="76"/>
      <c r="M329" s="76"/>
      <c r="N329" s="76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</row>
    <row r="330" spans="1:25" s="6" customFormat="1" x14ac:dyDescent="0.25">
      <c r="A330" s="1" t="s">
        <v>103</v>
      </c>
      <c r="B330"/>
      <c r="C330"/>
      <c r="D330"/>
      <c r="E330"/>
      <c r="F330"/>
      <c r="G330"/>
      <c r="H330"/>
      <c r="I330"/>
      <c r="J330"/>
      <c r="K330"/>
      <c r="L330"/>
      <c r="M330" s="68"/>
      <c r="N330" s="68"/>
      <c r="O330" s="68"/>
      <c r="P330" s="68"/>
      <c r="Q330" s="68"/>
      <c r="R330" s="68"/>
      <c r="S330" s="68"/>
      <c r="T330" s="69"/>
      <c r="U330" s="69"/>
      <c r="V330" s="69"/>
      <c r="W330" s="69"/>
      <c r="X330" s="69"/>
      <c r="Y330" s="69"/>
    </row>
    <row r="331" spans="1:25" s="6" customFormat="1" x14ac:dyDescent="0.25">
      <c r="A331" s="82" t="s">
        <v>104</v>
      </c>
      <c r="B331"/>
      <c r="C331"/>
      <c r="D331"/>
      <c r="E331"/>
      <c r="F331"/>
      <c r="G331"/>
      <c r="H331"/>
      <c r="I331"/>
      <c r="J331"/>
      <c r="K331"/>
      <c r="L331"/>
      <c r="M331" s="68"/>
      <c r="N331" s="68"/>
      <c r="O331" s="68"/>
      <c r="P331" s="68"/>
      <c r="Q331" s="68"/>
      <c r="R331" s="68"/>
      <c r="S331" s="68"/>
      <c r="T331" s="69"/>
      <c r="U331" s="69"/>
      <c r="V331" s="69"/>
      <c r="W331" s="69"/>
      <c r="X331" s="69"/>
      <c r="Y331" s="69"/>
    </row>
    <row r="332" spans="1:25" s="6" customFormat="1" x14ac:dyDescent="0.25">
      <c r="A332" s="97" t="s">
        <v>105</v>
      </c>
      <c r="B332"/>
      <c r="C332"/>
      <c r="D332"/>
      <c r="E332"/>
      <c r="F332" s="17" t="s">
        <v>106</v>
      </c>
      <c r="G332"/>
      <c r="H332"/>
      <c r="I332"/>
      <c r="J332"/>
      <c r="K332"/>
      <c r="L332"/>
      <c r="M332" s="68"/>
      <c r="N332" s="68"/>
      <c r="O332" s="68"/>
      <c r="P332" s="68"/>
      <c r="Q332" s="68"/>
      <c r="R332" s="68"/>
      <c r="S332" s="68"/>
      <c r="T332" s="69"/>
      <c r="U332" s="69"/>
      <c r="V332" s="69"/>
      <c r="W332" s="69"/>
      <c r="X332" s="69"/>
      <c r="Y332" s="69"/>
    </row>
    <row r="333" spans="1:25" s="6" customFormat="1" x14ac:dyDescent="0.25">
      <c r="A333" s="98" t="s">
        <v>0</v>
      </c>
      <c r="B333" s="98"/>
      <c r="C333" s="98" t="s">
        <v>107</v>
      </c>
      <c r="D333" s="99">
        <v>0.88</v>
      </c>
      <c r="E333" s="100"/>
      <c r="F333" s="98" t="s">
        <v>108</v>
      </c>
      <c r="G333"/>
      <c r="H333"/>
      <c r="I333"/>
      <c r="J333"/>
      <c r="K333"/>
      <c r="L333"/>
      <c r="M333" s="68"/>
      <c r="N333" s="68"/>
      <c r="O333" s="68"/>
      <c r="P333" s="68"/>
      <c r="Q333" s="68"/>
      <c r="R333" s="68"/>
      <c r="S333" s="68"/>
      <c r="T333" s="69"/>
      <c r="U333" s="69"/>
      <c r="V333" s="69"/>
      <c r="W333" s="69"/>
      <c r="X333" s="69"/>
      <c r="Y333" s="69"/>
    </row>
    <row r="334" spans="1:25" s="6" customFormat="1" x14ac:dyDescent="0.25">
      <c r="A334">
        <v>2006</v>
      </c>
      <c r="B334"/>
      <c r="C334" s="29">
        <v>3077537</v>
      </c>
      <c r="D334" s="101">
        <f>C334*D$333/(100*7.48)</f>
        <v>3620.6317647058822</v>
      </c>
      <c r="E334"/>
      <c r="F334"/>
      <c r="G334"/>
      <c r="H334"/>
      <c r="I334"/>
      <c r="J334"/>
      <c r="K334"/>
      <c r="L334"/>
      <c r="M334" s="68"/>
      <c r="N334" s="68"/>
      <c r="O334" s="68"/>
      <c r="P334" s="68"/>
      <c r="Q334" s="68"/>
      <c r="R334" s="68"/>
      <c r="S334" s="68"/>
      <c r="T334" s="69"/>
      <c r="U334" s="69"/>
      <c r="V334" s="69"/>
      <c r="W334" s="69"/>
      <c r="X334" s="69"/>
      <c r="Y334" s="69"/>
    </row>
    <row r="335" spans="1:25" s="6" customFormat="1" x14ac:dyDescent="0.25">
      <c r="A335">
        <v>2007</v>
      </c>
      <c r="B335"/>
      <c r="C335" s="29">
        <v>3458752</v>
      </c>
      <c r="D335" s="101">
        <f t="shared" ref="D335:D340" si="25">C335*D$333/(100*7.48)</f>
        <v>4069.1200000000003</v>
      </c>
      <c r="E335"/>
      <c r="F335"/>
      <c r="G335"/>
      <c r="H335"/>
      <c r="I335"/>
      <c r="J335"/>
      <c r="K335"/>
      <c r="L335"/>
      <c r="M335" s="68"/>
      <c r="N335" s="68"/>
      <c r="O335" s="68"/>
      <c r="P335" s="68"/>
      <c r="Q335" s="68"/>
      <c r="R335" s="68"/>
      <c r="S335" s="68"/>
      <c r="T335" s="69"/>
      <c r="U335" s="69"/>
      <c r="V335" s="69"/>
      <c r="W335" s="69"/>
      <c r="X335" s="69"/>
      <c r="Y335" s="69"/>
    </row>
    <row r="336" spans="1:25" s="6" customFormat="1" x14ac:dyDescent="0.25">
      <c r="A336">
        <v>2008</v>
      </c>
      <c r="B336"/>
      <c r="C336" s="29">
        <v>2870824</v>
      </c>
      <c r="D336" s="101">
        <f t="shared" si="25"/>
        <v>3377.44</v>
      </c>
      <c r="E336"/>
      <c r="F336"/>
      <c r="G336"/>
      <c r="H336"/>
      <c r="I336"/>
      <c r="J336"/>
      <c r="K336"/>
      <c r="L336"/>
      <c r="M336" s="68"/>
      <c r="N336" s="68"/>
      <c r="O336" s="68"/>
      <c r="P336" s="68"/>
      <c r="Q336" s="68"/>
      <c r="R336" s="68"/>
      <c r="S336" s="68"/>
      <c r="T336" s="69"/>
      <c r="U336" s="69"/>
      <c r="V336" s="69"/>
      <c r="W336" s="69"/>
      <c r="X336" s="69"/>
      <c r="Y336" s="69"/>
    </row>
    <row r="337" spans="1:25" s="6" customFormat="1" x14ac:dyDescent="0.25">
      <c r="A337">
        <v>2009</v>
      </c>
      <c r="B337"/>
      <c r="C337" s="29">
        <v>3154316</v>
      </c>
      <c r="D337" s="101">
        <f t="shared" si="25"/>
        <v>3710.96</v>
      </c>
      <c r="E337"/>
      <c r="F337"/>
      <c r="G337"/>
      <c r="H337"/>
      <c r="I337"/>
      <c r="J337"/>
      <c r="K337"/>
      <c r="L337"/>
      <c r="M337" s="68"/>
      <c r="N337" s="68"/>
      <c r="O337" s="68"/>
      <c r="P337" s="68"/>
      <c r="Q337" s="68"/>
      <c r="R337" s="68"/>
      <c r="S337" s="68"/>
      <c r="T337" s="69"/>
      <c r="U337" s="69"/>
      <c r="V337" s="69"/>
      <c r="W337" s="69"/>
      <c r="X337" s="69"/>
      <c r="Y337" s="69"/>
    </row>
    <row r="338" spans="1:25" s="6" customFormat="1" x14ac:dyDescent="0.25">
      <c r="A338">
        <v>2010</v>
      </c>
      <c r="B338"/>
      <c r="C338" s="29">
        <v>3354780</v>
      </c>
      <c r="D338" s="101">
        <f t="shared" si="25"/>
        <v>3946.7999999999997</v>
      </c>
      <c r="E338"/>
      <c r="F338"/>
      <c r="G338"/>
      <c r="H338"/>
      <c r="I338"/>
      <c r="J338"/>
      <c r="K338"/>
      <c r="L338"/>
      <c r="M338" s="68"/>
      <c r="N338" s="68"/>
      <c r="O338" s="68"/>
      <c r="P338" s="68"/>
      <c r="Q338" s="68"/>
      <c r="R338" s="68"/>
      <c r="S338" s="68"/>
      <c r="T338" s="69"/>
      <c r="U338" s="69"/>
      <c r="V338" s="69"/>
      <c r="W338" s="69"/>
      <c r="X338" s="69"/>
      <c r="Y338" s="69"/>
    </row>
    <row r="339" spans="1:25" s="6" customFormat="1" x14ac:dyDescent="0.25">
      <c r="A339">
        <v>2011</v>
      </c>
      <c r="B339"/>
      <c r="C339" s="29">
        <v>2622132</v>
      </c>
      <c r="D339" s="101">
        <f t="shared" si="25"/>
        <v>3084.8611764705884</v>
      </c>
      <c r="E339"/>
      <c r="F339"/>
      <c r="G339"/>
      <c r="H339"/>
      <c r="I339"/>
      <c r="J339"/>
      <c r="K339"/>
      <c r="L339"/>
      <c r="M339" s="68"/>
      <c r="N339" s="68"/>
      <c r="O339" s="68"/>
      <c r="P339" s="68"/>
      <c r="Q339" s="68"/>
      <c r="R339" s="68"/>
      <c r="S339" s="68"/>
      <c r="T339" s="69"/>
      <c r="U339" s="69"/>
      <c r="V339" s="69"/>
      <c r="W339" s="69"/>
      <c r="X339" s="69"/>
      <c r="Y339" s="69"/>
    </row>
    <row r="340" spans="1:25" s="6" customFormat="1" x14ac:dyDescent="0.25">
      <c r="A340">
        <v>2012</v>
      </c>
      <c r="B340"/>
      <c r="C340" s="29">
        <v>2731696</v>
      </c>
      <c r="D340" s="117">
        <f t="shared" si="25"/>
        <v>3213.7599999999998</v>
      </c>
      <c r="E340"/>
      <c r="F340"/>
      <c r="G340"/>
      <c r="H340"/>
      <c r="I340"/>
      <c r="J340"/>
      <c r="K340"/>
      <c r="L340"/>
      <c r="M340" s="68"/>
      <c r="N340" s="68"/>
      <c r="O340" s="68"/>
      <c r="P340" s="68"/>
      <c r="Q340" s="68"/>
      <c r="R340" s="68"/>
      <c r="S340" s="68"/>
      <c r="T340" s="69"/>
      <c r="U340" s="69"/>
      <c r="V340" s="69"/>
      <c r="W340" s="69"/>
      <c r="X340" s="69"/>
      <c r="Y340" s="69"/>
    </row>
    <row r="341" spans="1:25" s="6" customFormat="1" x14ac:dyDescent="0.25">
      <c r="A341" s="102" t="s">
        <v>109</v>
      </c>
      <c r="B341" s="103"/>
      <c r="C341" s="104">
        <f>AVERAGE(C334:C340)</f>
        <v>3038576.7142857141</v>
      </c>
      <c r="D341" s="101">
        <f>C341*D$333/(100*7.48)</f>
        <v>3574.7961344537812</v>
      </c>
      <c r="E341" s="103"/>
      <c r="F341" s="106">
        <f>D341</f>
        <v>3574.7961344537812</v>
      </c>
      <c r="G341"/>
      <c r="H341"/>
      <c r="I341"/>
      <c r="J341"/>
      <c r="K341"/>
      <c r="L341"/>
      <c r="M341" s="68"/>
      <c r="N341" s="68"/>
      <c r="O341" s="68"/>
      <c r="P341" s="68"/>
      <c r="Q341" s="68"/>
      <c r="R341" s="68"/>
      <c r="S341" s="68"/>
      <c r="T341" s="69"/>
      <c r="U341" s="69"/>
      <c r="V341" s="69"/>
      <c r="W341" s="69"/>
      <c r="X341" s="69"/>
      <c r="Y341" s="69"/>
    </row>
    <row r="342" spans="1:25" s="6" customFormat="1" x14ac:dyDescent="0.25">
      <c r="A342" s="107"/>
      <c r="B342" s="68"/>
      <c r="C342" s="108"/>
      <c r="D342" s="109"/>
      <c r="E342"/>
      <c r="F342"/>
      <c r="G342"/>
      <c r="H342"/>
      <c r="I342"/>
      <c r="J342"/>
      <c r="K342"/>
      <c r="L342"/>
      <c r="M342" s="68"/>
      <c r="N342" s="68"/>
      <c r="O342" s="68"/>
      <c r="P342" s="68"/>
      <c r="Q342" s="68"/>
      <c r="R342" s="68"/>
      <c r="S342" s="68"/>
      <c r="T342" s="69"/>
      <c r="U342" s="69"/>
      <c r="V342" s="69"/>
      <c r="W342" s="69"/>
      <c r="X342" s="69"/>
      <c r="Y342" s="69"/>
    </row>
    <row r="343" spans="1:25" s="6" customFormat="1" x14ac:dyDescent="0.25">
      <c r="A343" s="97" t="s">
        <v>110</v>
      </c>
      <c r="B343"/>
      <c r="C343"/>
      <c r="D343"/>
      <c r="E343"/>
      <c r="F343" t="s">
        <v>111</v>
      </c>
      <c r="G343"/>
      <c r="H343"/>
      <c r="I343"/>
      <c r="J343"/>
      <c r="K343"/>
      <c r="L343"/>
      <c r="M343" s="68"/>
      <c r="N343" s="68"/>
      <c r="O343" s="68"/>
      <c r="P343" s="68"/>
      <c r="Q343" s="68"/>
      <c r="R343" s="68"/>
      <c r="S343" s="68"/>
      <c r="T343" s="69"/>
      <c r="U343" s="69"/>
      <c r="V343" s="69"/>
      <c r="W343" s="69"/>
      <c r="X343" s="69"/>
      <c r="Y343" s="69"/>
    </row>
    <row r="344" spans="1:25" s="6" customFormat="1" x14ac:dyDescent="0.25">
      <c r="A344" s="98" t="s">
        <v>0</v>
      </c>
      <c r="B344" s="98"/>
      <c r="C344" s="98" t="s">
        <v>112</v>
      </c>
      <c r="D344" s="99">
        <v>6.7</v>
      </c>
      <c r="E344"/>
      <c r="F344"/>
      <c r="G344"/>
      <c r="H344"/>
      <c r="I344"/>
      <c r="J344"/>
      <c r="K344"/>
      <c r="L344"/>
      <c r="M344" s="68"/>
      <c r="N344" s="68"/>
      <c r="O344" s="68"/>
      <c r="P344" s="68"/>
      <c r="Q344" s="68"/>
      <c r="R344" s="68"/>
      <c r="S344" s="68"/>
      <c r="T344" s="69"/>
      <c r="U344" s="69"/>
      <c r="V344" s="69"/>
      <c r="W344" s="69"/>
      <c r="X344" s="69"/>
      <c r="Y344" s="69"/>
    </row>
    <row r="345" spans="1:25" s="6" customFormat="1" x14ac:dyDescent="0.25">
      <c r="A345">
        <v>2008</v>
      </c>
      <c r="B345"/>
      <c r="C345">
        <v>5541.8</v>
      </c>
      <c r="D345" s="101">
        <f>C345*D$344</f>
        <v>37130.060000000005</v>
      </c>
      <c r="E345"/>
      <c r="F345"/>
      <c r="G345"/>
      <c r="H345"/>
      <c r="I345"/>
      <c r="J345"/>
      <c r="K345"/>
      <c r="L345"/>
      <c r="M345" s="68"/>
      <c r="N345" s="68"/>
      <c r="O345" s="68"/>
      <c r="P345" s="68"/>
      <c r="Q345" s="68"/>
      <c r="R345" s="68"/>
      <c r="S345" s="68"/>
      <c r="T345" s="69"/>
      <c r="U345" s="69"/>
      <c r="V345" s="69"/>
      <c r="W345" s="69"/>
      <c r="X345" s="69"/>
      <c r="Y345" s="69"/>
    </row>
    <row r="346" spans="1:25" s="6" customFormat="1" x14ac:dyDescent="0.25">
      <c r="A346">
        <v>2009</v>
      </c>
      <c r="B346"/>
      <c r="C346">
        <v>6478.2</v>
      </c>
      <c r="D346" s="101">
        <f t="shared" ref="D346:D349" si="26">C346*D$344</f>
        <v>43403.94</v>
      </c>
      <c r="E346"/>
      <c r="F346"/>
      <c r="G346"/>
      <c r="H346"/>
      <c r="I346"/>
      <c r="J346"/>
      <c r="K346"/>
      <c r="L346"/>
      <c r="M346" s="68"/>
      <c r="N346" s="68"/>
      <c r="O346" s="68"/>
      <c r="P346" s="68"/>
      <c r="Q346" s="68"/>
      <c r="R346" s="68"/>
      <c r="S346" s="68"/>
      <c r="T346" s="69"/>
      <c r="U346" s="69"/>
      <c r="V346" s="69"/>
      <c r="W346" s="69"/>
      <c r="X346" s="69"/>
      <c r="Y346" s="69"/>
    </row>
    <row r="347" spans="1:25" s="6" customFormat="1" x14ac:dyDescent="0.25">
      <c r="A347">
        <v>2010</v>
      </c>
      <c r="B347"/>
      <c r="C347">
        <v>4193.8</v>
      </c>
      <c r="D347" s="101">
        <f t="shared" si="26"/>
        <v>28098.460000000003</v>
      </c>
      <c r="E347"/>
      <c r="F347"/>
      <c r="G347"/>
      <c r="H347"/>
      <c r="I347"/>
      <c r="J347"/>
      <c r="K347"/>
      <c r="L347"/>
      <c r="M347" s="68"/>
      <c r="N347" s="68"/>
      <c r="O347" s="68"/>
      <c r="P347" s="68"/>
      <c r="Q347" s="68"/>
      <c r="R347" s="68"/>
      <c r="S347" s="68"/>
      <c r="T347" s="69"/>
      <c r="U347" s="69"/>
      <c r="V347" s="69"/>
      <c r="W347" s="69"/>
      <c r="X347" s="69"/>
      <c r="Y347" s="69"/>
    </row>
    <row r="348" spans="1:25" s="6" customFormat="1" x14ac:dyDescent="0.25">
      <c r="A348">
        <v>2011</v>
      </c>
      <c r="B348"/>
      <c r="C348">
        <v>5112.8</v>
      </c>
      <c r="D348" s="117">
        <f t="shared" si="26"/>
        <v>34255.760000000002</v>
      </c>
      <c r="E348"/>
      <c r="F348"/>
      <c r="G348"/>
      <c r="H348"/>
      <c r="I348"/>
      <c r="J348"/>
      <c r="K348"/>
      <c r="L348"/>
      <c r="M348" s="68"/>
      <c r="N348" s="68"/>
      <c r="O348" s="68"/>
      <c r="P348" s="68"/>
      <c r="Q348" s="68"/>
      <c r="R348" s="68"/>
      <c r="S348" s="68"/>
      <c r="T348" s="69"/>
      <c r="U348" s="69"/>
      <c r="V348" s="69"/>
      <c r="W348" s="69"/>
      <c r="X348" s="69"/>
      <c r="Y348" s="69"/>
    </row>
    <row r="349" spans="1:25" s="6" customFormat="1" x14ac:dyDescent="0.25">
      <c r="A349" s="102" t="s">
        <v>109</v>
      </c>
      <c r="B349" s="103"/>
      <c r="C349" s="104">
        <f>AVERAGE(C345:C348)</f>
        <v>5331.65</v>
      </c>
      <c r="D349" s="101">
        <f t="shared" si="26"/>
        <v>35722.055</v>
      </c>
      <c r="E349" s="103"/>
      <c r="F349" s="106">
        <f>D349</f>
        <v>35722.055</v>
      </c>
      <c r="G349"/>
      <c r="H349"/>
      <c r="I349"/>
      <c r="J349"/>
      <c r="K349"/>
      <c r="L349"/>
      <c r="M349" s="68"/>
      <c r="N349" s="68"/>
      <c r="O349" s="68"/>
      <c r="P349" s="68"/>
      <c r="Q349" s="68"/>
      <c r="R349" s="68"/>
      <c r="S349" s="68"/>
      <c r="T349" s="69"/>
      <c r="U349" s="69"/>
      <c r="V349" s="69"/>
      <c r="W349" s="69"/>
      <c r="X349" s="69"/>
      <c r="Y349" s="69"/>
    </row>
    <row r="350" spans="1:25" s="6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 s="68"/>
      <c r="N350" s="68"/>
      <c r="O350" s="68"/>
      <c r="P350" s="68"/>
      <c r="Q350" s="68"/>
      <c r="R350" s="68"/>
      <c r="S350" s="68"/>
      <c r="T350" s="69"/>
      <c r="U350" s="69"/>
      <c r="V350" s="69"/>
      <c r="W350" s="69"/>
      <c r="X350" s="69"/>
      <c r="Y350" s="69"/>
    </row>
    <row r="351" spans="1:25" s="6" customFormat="1" x14ac:dyDescent="0.25">
      <c r="A351" s="97" t="s">
        <v>113</v>
      </c>
      <c r="B351"/>
      <c r="C351"/>
      <c r="D351"/>
      <c r="E351"/>
      <c r="F351" s="110" t="s">
        <v>114</v>
      </c>
      <c r="G351"/>
      <c r="H351"/>
      <c r="I351"/>
      <c r="J351"/>
      <c r="K351"/>
      <c r="L351"/>
      <c r="M351" s="68"/>
      <c r="N351" s="68"/>
      <c r="O351" s="68"/>
      <c r="P351" s="68"/>
      <c r="Q351" s="68"/>
      <c r="R351" s="68"/>
      <c r="S351" s="68"/>
      <c r="T351" s="69"/>
      <c r="U351" s="69"/>
      <c r="V351" s="69"/>
      <c r="W351" s="69"/>
      <c r="X351" s="69"/>
      <c r="Y351" s="69"/>
    </row>
    <row r="352" spans="1:25" s="6" customFormat="1" x14ac:dyDescent="0.25">
      <c r="A352" s="98" t="s">
        <v>0</v>
      </c>
      <c r="B352"/>
      <c r="C352" s="98" t="s">
        <v>115</v>
      </c>
      <c r="D352" s="99">
        <v>0.08</v>
      </c>
      <c r="E352"/>
      <c r="F352"/>
      <c r="G352"/>
      <c r="H352"/>
      <c r="I352"/>
      <c r="J352"/>
      <c r="K352"/>
      <c r="L352"/>
      <c r="M352" s="68"/>
      <c r="N352" s="68"/>
      <c r="O352" s="68"/>
      <c r="P352" s="68"/>
      <c r="Q352" s="68"/>
      <c r="R352" s="68"/>
      <c r="S352" s="68"/>
      <c r="T352" s="69"/>
      <c r="U352" s="69"/>
      <c r="V352" s="69"/>
      <c r="W352" s="69"/>
      <c r="X352" s="69"/>
      <c r="Y352" s="69"/>
    </row>
    <row r="353" spans="1:25" s="6" customFormat="1" x14ac:dyDescent="0.25">
      <c r="A353">
        <v>2003</v>
      </c>
      <c r="B353"/>
      <c r="C353" s="29">
        <v>1235340</v>
      </c>
      <c r="D353" s="101">
        <f>C353*D$352</f>
        <v>98827.199999999997</v>
      </c>
      <c r="E353"/>
      <c r="F353"/>
      <c r="G353"/>
      <c r="H353"/>
      <c r="I353"/>
      <c r="J353"/>
      <c r="K353"/>
      <c r="L353"/>
      <c r="M353" s="68"/>
      <c r="N353" s="68"/>
      <c r="O353" s="68"/>
      <c r="P353" s="68"/>
      <c r="Q353" s="68"/>
      <c r="R353" s="68"/>
      <c r="S353" s="68"/>
      <c r="T353" s="69"/>
      <c r="U353" s="69"/>
      <c r="V353" s="69"/>
      <c r="W353" s="69"/>
      <c r="X353" s="69"/>
      <c r="Y353" s="69"/>
    </row>
    <row r="354" spans="1:25" s="6" customFormat="1" x14ac:dyDescent="0.25">
      <c r="A354">
        <v>2004</v>
      </c>
      <c r="B354"/>
      <c r="C354" s="29">
        <v>1330200</v>
      </c>
      <c r="D354" s="101">
        <f t="shared" ref="D354:D361" si="27">C354*D$352</f>
        <v>106416</v>
      </c>
      <c r="E354"/>
      <c r="F354"/>
      <c r="G354"/>
      <c r="H354"/>
      <c r="I354"/>
      <c r="J354"/>
      <c r="K354"/>
      <c r="L354"/>
      <c r="M354" s="68"/>
      <c r="N354" s="68"/>
      <c r="O354" s="68"/>
      <c r="P354" s="68"/>
      <c r="Q354" s="68"/>
      <c r="R354" s="68"/>
      <c r="S354" s="68"/>
      <c r="T354" s="69"/>
      <c r="U354" s="69"/>
      <c r="V354" s="69"/>
      <c r="W354" s="69"/>
      <c r="X354" s="69"/>
      <c r="Y354" s="69"/>
    </row>
    <row r="355" spans="1:25" s="6" customFormat="1" x14ac:dyDescent="0.25">
      <c r="A355">
        <v>2005</v>
      </c>
      <c r="B355"/>
      <c r="C355" s="29">
        <v>1293300</v>
      </c>
      <c r="D355" s="101">
        <f t="shared" si="27"/>
        <v>103464</v>
      </c>
      <c r="E355"/>
      <c r="F355"/>
      <c r="G355"/>
      <c r="H355"/>
      <c r="I355"/>
      <c r="J355"/>
      <c r="K355"/>
      <c r="L355"/>
      <c r="M355" s="68"/>
      <c r="N355" s="68"/>
      <c r="O355" s="68"/>
      <c r="P355" s="68"/>
      <c r="Q355" s="68"/>
      <c r="R355" s="68"/>
      <c r="S355" s="68"/>
      <c r="T355" s="69"/>
      <c r="U355" s="69"/>
      <c r="V355" s="69"/>
      <c r="W355" s="69"/>
      <c r="X355" s="69"/>
      <c r="Y355" s="69"/>
    </row>
    <row r="356" spans="1:25" s="6" customFormat="1" x14ac:dyDescent="0.25">
      <c r="A356">
        <v>2006</v>
      </c>
      <c r="B356"/>
      <c r="C356" s="29">
        <v>1294000</v>
      </c>
      <c r="D356" s="101">
        <f t="shared" si="27"/>
        <v>103520</v>
      </c>
      <c r="E356"/>
      <c r="F356"/>
      <c r="G356"/>
      <c r="H356"/>
      <c r="I356"/>
      <c r="J356"/>
      <c r="K356"/>
      <c r="L356"/>
      <c r="M356" s="68"/>
      <c r="N356" s="68"/>
      <c r="O356" s="68"/>
      <c r="P356" s="68"/>
      <c r="Q356" s="68"/>
      <c r="R356" s="68"/>
      <c r="S356" s="68"/>
      <c r="T356" s="69"/>
      <c r="U356" s="69"/>
      <c r="V356" s="69"/>
      <c r="W356" s="69"/>
      <c r="X356" s="69"/>
      <c r="Y356" s="69"/>
    </row>
    <row r="357" spans="1:25" s="6" customFormat="1" x14ac:dyDescent="0.25">
      <c r="A357">
        <v>2007</v>
      </c>
      <c r="B357"/>
      <c r="C357" s="29">
        <v>1261620</v>
      </c>
      <c r="D357" s="101">
        <f t="shared" si="27"/>
        <v>100929.60000000001</v>
      </c>
      <c r="E357"/>
      <c r="F357"/>
      <c r="G357"/>
      <c r="H357"/>
      <c r="I357"/>
      <c r="J357"/>
      <c r="K357"/>
      <c r="L357"/>
      <c r="M357" s="68"/>
      <c r="N357" s="68"/>
      <c r="O357" s="68"/>
      <c r="P357" s="68"/>
      <c r="Q357" s="68"/>
      <c r="R357" s="68"/>
      <c r="S357" s="68"/>
      <c r="T357" s="69"/>
      <c r="U357" s="69"/>
      <c r="V357" s="69"/>
      <c r="W357" s="69"/>
      <c r="X357" s="69"/>
      <c r="Y357" s="69"/>
    </row>
    <row r="358" spans="1:25" s="6" customFormat="1" x14ac:dyDescent="0.25">
      <c r="A358">
        <v>2008</v>
      </c>
      <c r="B358"/>
      <c r="C358" s="29">
        <v>1208520</v>
      </c>
      <c r="D358" s="101">
        <f t="shared" si="27"/>
        <v>96681.600000000006</v>
      </c>
      <c r="E358"/>
      <c r="F358"/>
      <c r="G358"/>
      <c r="H358"/>
      <c r="I358"/>
      <c r="J358"/>
      <c r="K358"/>
      <c r="L358"/>
      <c r="M358" s="68"/>
      <c r="N358" s="68"/>
      <c r="O358" s="68"/>
      <c r="P358" s="68"/>
      <c r="Q358" s="68"/>
      <c r="R358" s="68"/>
      <c r="S358" s="68"/>
      <c r="T358" s="69"/>
      <c r="U358" s="69"/>
      <c r="V358" s="69"/>
      <c r="W358" s="69"/>
      <c r="X358" s="69"/>
      <c r="Y358" s="69"/>
    </row>
    <row r="359" spans="1:25" s="6" customFormat="1" x14ac:dyDescent="0.25">
      <c r="A359">
        <v>2009</v>
      </c>
      <c r="B359"/>
      <c r="C359" s="29">
        <v>1092960</v>
      </c>
      <c r="D359" s="101">
        <f t="shared" si="27"/>
        <v>87436.800000000003</v>
      </c>
      <c r="E359"/>
      <c r="F359"/>
      <c r="G359"/>
      <c r="H359"/>
      <c r="I359"/>
      <c r="J359"/>
      <c r="K359"/>
      <c r="L359"/>
      <c r="M359" s="68"/>
      <c r="N359" s="68"/>
      <c r="O359" s="68"/>
      <c r="P359" s="68"/>
      <c r="Q359" s="68"/>
      <c r="R359" s="68"/>
      <c r="S359" s="68"/>
      <c r="T359" s="69"/>
      <c r="U359" s="69"/>
      <c r="V359" s="69"/>
      <c r="W359" s="69"/>
      <c r="X359" s="69"/>
      <c r="Y359" s="69"/>
    </row>
    <row r="360" spans="1:25" s="6" customFormat="1" x14ac:dyDescent="0.25">
      <c r="A360">
        <v>2010</v>
      </c>
      <c r="B360"/>
      <c r="C360" s="29">
        <v>1090897</v>
      </c>
      <c r="D360" s="101">
        <f t="shared" si="27"/>
        <v>87271.76</v>
      </c>
      <c r="E360"/>
      <c r="F360"/>
      <c r="G360"/>
      <c r="H360"/>
      <c r="I360"/>
      <c r="J360"/>
      <c r="K360"/>
      <c r="L360"/>
      <c r="M360" s="68"/>
      <c r="N360" s="68"/>
      <c r="O360" s="68"/>
      <c r="P360" s="68"/>
      <c r="Q360" s="68"/>
      <c r="R360" s="68"/>
      <c r="S360" s="68"/>
      <c r="T360" s="69"/>
      <c r="U360" s="69"/>
      <c r="V360" s="69"/>
      <c r="W360" s="69"/>
      <c r="X360" s="69"/>
      <c r="Y360" s="69"/>
    </row>
    <row r="361" spans="1:25" s="6" customFormat="1" x14ac:dyDescent="0.25">
      <c r="A361">
        <v>2011</v>
      </c>
      <c r="B361"/>
      <c r="C361" s="29">
        <v>928116</v>
      </c>
      <c r="D361" s="117">
        <f t="shared" si="27"/>
        <v>74249.279999999999</v>
      </c>
      <c r="E361"/>
      <c r="F361"/>
      <c r="G361"/>
      <c r="H361"/>
      <c r="I361"/>
      <c r="J361"/>
      <c r="K361"/>
      <c r="L361"/>
      <c r="M361" s="68"/>
      <c r="N361" s="68"/>
      <c r="O361" s="68"/>
      <c r="P361" s="68"/>
      <c r="Q361" s="68"/>
      <c r="R361" s="68"/>
      <c r="S361" s="68"/>
      <c r="T361" s="69"/>
      <c r="U361" s="69"/>
      <c r="V361" s="69"/>
      <c r="W361" s="69"/>
      <c r="X361" s="69"/>
      <c r="Y361" s="69"/>
    </row>
    <row r="362" spans="1:25" s="6" customFormat="1" x14ac:dyDescent="0.25">
      <c r="A362" s="102" t="s">
        <v>109</v>
      </c>
      <c r="B362" s="103"/>
      <c r="C362" s="104">
        <f>AVERAGE(C353:C361)</f>
        <v>1192772.5555555555</v>
      </c>
      <c r="D362" s="101">
        <f>C362*D$352</f>
        <v>95421.804444444439</v>
      </c>
      <c r="E362" s="103"/>
      <c r="F362" s="106">
        <f>D362</f>
        <v>95421.804444444439</v>
      </c>
      <c r="G362"/>
      <c r="H362"/>
      <c r="I362"/>
      <c r="J362"/>
      <c r="K362"/>
      <c r="L362"/>
      <c r="M362" s="68"/>
      <c r="N362" s="68"/>
      <c r="O362" s="68"/>
      <c r="P362" s="68"/>
      <c r="Q362" s="68"/>
      <c r="R362" s="68"/>
      <c r="S362" s="68"/>
      <c r="T362" s="69"/>
      <c r="U362" s="69"/>
      <c r="V362" s="69"/>
      <c r="W362" s="69"/>
      <c r="X362" s="69"/>
      <c r="Y362" s="69"/>
    </row>
    <row r="363" spans="1:25" s="6" customFormat="1" x14ac:dyDescent="0.25">
      <c r="A363"/>
      <c r="B363"/>
      <c r="C363"/>
      <c r="D363"/>
      <c r="E363" s="103" t="s">
        <v>116</v>
      </c>
      <c r="F363" s="106">
        <f>SUM(F334:F362)</f>
        <v>134718.65557889821</v>
      </c>
      <c r="G363" t="s">
        <v>117</v>
      </c>
      <c r="H363"/>
      <c r="I363"/>
      <c r="J363"/>
      <c r="K363"/>
      <c r="L363"/>
      <c r="M363" s="68"/>
      <c r="N363" s="68"/>
      <c r="O363" s="68"/>
      <c r="P363" s="68"/>
      <c r="Q363" s="68"/>
      <c r="R363" s="68"/>
      <c r="S363" s="68"/>
      <c r="T363" s="69"/>
      <c r="U363" s="69"/>
      <c r="V363" s="69"/>
      <c r="W363" s="69"/>
      <c r="X363" s="69"/>
      <c r="Y363" s="69"/>
    </row>
    <row r="364" spans="1:25" s="6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 s="68"/>
      <c r="N364" s="68"/>
      <c r="O364" s="68"/>
      <c r="P364" s="68"/>
      <c r="Q364" s="68"/>
      <c r="R364" s="68"/>
      <c r="S364" s="68"/>
      <c r="T364" s="69"/>
      <c r="U364" s="69"/>
      <c r="V364" s="69"/>
      <c r="W364" s="69"/>
      <c r="X364" s="69"/>
      <c r="Y364" s="69"/>
    </row>
    <row r="365" spans="1:25" s="6" customFormat="1" x14ac:dyDescent="0.25">
      <c r="A365" s="97" t="s">
        <v>118</v>
      </c>
      <c r="B365"/>
      <c r="C365"/>
      <c r="D365"/>
      <c r="E365"/>
      <c r="F365"/>
      <c r="G365"/>
      <c r="H365"/>
      <c r="I365"/>
      <c r="J365"/>
      <c r="K365"/>
      <c r="L365"/>
      <c r="M365" s="68"/>
      <c r="N365" s="68"/>
      <c r="O365" s="68"/>
      <c r="P365" s="68"/>
      <c r="Q365" s="68"/>
      <c r="R365" s="68"/>
      <c r="S365" s="68"/>
      <c r="T365" s="69"/>
      <c r="U365" s="69"/>
      <c r="V365" s="69"/>
      <c r="W365" s="69"/>
      <c r="X365" s="69"/>
      <c r="Y365" s="69"/>
    </row>
    <row r="366" spans="1:25" s="6" customFormat="1" x14ac:dyDescent="0.25">
      <c r="A366" s="515" t="s">
        <v>409</v>
      </c>
      <c r="B366" s="381"/>
      <c r="C366"/>
      <c r="D366"/>
      <c r="E366"/>
      <c r="F366"/>
      <c r="G366"/>
      <c r="H366"/>
      <c r="I366"/>
      <c r="J366"/>
      <c r="K366"/>
      <c r="L366"/>
      <c r="M366" s="68"/>
      <c r="N366" s="68"/>
      <c r="O366" s="68"/>
      <c r="P366" s="68"/>
      <c r="Q366" s="68"/>
      <c r="R366" s="68"/>
      <c r="S366" s="68"/>
      <c r="T366" s="69"/>
      <c r="U366" s="69"/>
      <c r="V366" s="69"/>
      <c r="W366" s="69"/>
      <c r="X366" s="69"/>
      <c r="Y366" s="69"/>
    </row>
    <row r="367" spans="1:25" s="6" customFormat="1" x14ac:dyDescent="0.25">
      <c r="A367" s="111" t="s">
        <v>119</v>
      </c>
      <c r="B367" s="98"/>
      <c r="C367" s="98"/>
      <c r="D367" s="98"/>
      <c r="E367" s="98"/>
      <c r="F367"/>
      <c r="G367"/>
      <c r="H367"/>
      <c r="I367"/>
      <c r="J367"/>
      <c r="K367"/>
      <c r="L367"/>
      <c r="M367" s="68"/>
      <c r="N367" s="68"/>
      <c r="O367" s="68"/>
      <c r="P367" s="68"/>
      <c r="Q367" s="68"/>
      <c r="R367" s="68"/>
      <c r="S367" s="68"/>
      <c r="T367" s="69"/>
      <c r="U367" s="69"/>
      <c r="V367" s="69"/>
      <c r="W367" s="69"/>
      <c r="X367" s="69"/>
      <c r="Y367" s="69"/>
    </row>
    <row r="368" spans="1:25" s="6" customFormat="1" x14ac:dyDescent="0.25">
      <c r="A368"/>
      <c r="B368" s="2"/>
      <c r="C368" s="2"/>
      <c r="D368" s="2"/>
      <c r="E368" s="2"/>
      <c r="F368"/>
      <c r="G368"/>
      <c r="H368"/>
      <c r="I368"/>
      <c r="J368"/>
      <c r="K368"/>
      <c r="L368"/>
      <c r="M368" s="68"/>
      <c r="N368" s="68"/>
      <c r="O368" s="68"/>
      <c r="P368" s="68"/>
      <c r="Q368" s="68"/>
      <c r="R368" s="68"/>
      <c r="S368" s="68"/>
      <c r="T368" s="69"/>
      <c r="U368" s="69"/>
      <c r="V368" s="69"/>
      <c r="W368" s="69"/>
      <c r="X368" s="69"/>
      <c r="Y368" s="69"/>
    </row>
    <row r="369" spans="1:25" s="6" customFormat="1" x14ac:dyDescent="0.25">
      <c r="A369" t="s">
        <v>120</v>
      </c>
      <c r="B369"/>
      <c r="C369"/>
      <c r="D369"/>
      <c r="E369" s="25">
        <v>0</v>
      </c>
      <c r="F369" s="2">
        <f>E369*F337</f>
        <v>0</v>
      </c>
      <c r="G369"/>
      <c r="H369"/>
      <c r="I369"/>
      <c r="J369"/>
      <c r="K369"/>
      <c r="L369"/>
      <c r="M369" s="68"/>
      <c r="N369" s="68"/>
      <c r="O369" s="68"/>
      <c r="P369" s="68"/>
      <c r="Q369" s="68"/>
      <c r="R369" s="68"/>
      <c r="S369" s="68"/>
      <c r="T369" s="69"/>
      <c r="U369" s="69"/>
      <c r="V369" s="69"/>
      <c r="W369" s="69"/>
      <c r="X369" s="69"/>
      <c r="Y369" s="69"/>
    </row>
    <row r="370" spans="1:25" s="6" customFormat="1" x14ac:dyDescent="0.25">
      <c r="A370" t="s">
        <v>121</v>
      </c>
      <c r="B370"/>
      <c r="C370"/>
      <c r="D370"/>
      <c r="E370" s="25">
        <v>0.5</v>
      </c>
      <c r="F370" s="2">
        <f>E370*F347</f>
        <v>0</v>
      </c>
      <c r="G370"/>
      <c r="H370"/>
      <c r="I370"/>
      <c r="J370"/>
      <c r="K370"/>
      <c r="L370"/>
      <c r="M370" s="68"/>
      <c r="N370" s="68"/>
      <c r="O370" s="68"/>
      <c r="P370" s="68"/>
      <c r="Q370" s="68"/>
      <c r="R370" s="68"/>
      <c r="S370" s="68"/>
      <c r="T370" s="69"/>
      <c r="U370" s="69"/>
      <c r="V370" s="69"/>
      <c r="W370" s="69"/>
      <c r="X370" s="69"/>
      <c r="Y370" s="69"/>
    </row>
    <row r="371" spans="1:25" s="6" customFormat="1" x14ac:dyDescent="0.25">
      <c r="A371" t="s">
        <v>410</v>
      </c>
      <c r="B371"/>
      <c r="C371"/>
      <c r="D371"/>
      <c r="E371" s="25">
        <v>0.5</v>
      </c>
      <c r="F371" s="2">
        <f>E371*F362</f>
        <v>47710.902222222219</v>
      </c>
      <c r="G371"/>
      <c r="H371"/>
      <c r="I371"/>
      <c r="J371"/>
      <c r="K371"/>
      <c r="L371"/>
      <c r="M371" s="68"/>
      <c r="N371" s="68"/>
      <c r="O371" s="68"/>
      <c r="P371" s="68"/>
      <c r="Q371" s="68"/>
      <c r="R371" s="68"/>
      <c r="S371" s="68"/>
      <c r="T371" s="69"/>
      <c r="U371" s="69"/>
      <c r="V371" s="69"/>
      <c r="W371" s="69"/>
      <c r="X371" s="69"/>
      <c r="Y371" s="69"/>
    </row>
    <row r="372" spans="1:25" s="6" customFormat="1" x14ac:dyDescent="0.25">
      <c r="A372" s="381" t="s">
        <v>411</v>
      </c>
      <c r="B372" s="381"/>
      <c r="C372" s="381"/>
      <c r="D372" s="381"/>
      <c r="E372" s="25"/>
      <c r="F372" s="516">
        <v>100000</v>
      </c>
      <c r="G372"/>
      <c r="H372"/>
      <c r="I372"/>
      <c r="J372"/>
      <c r="K372"/>
      <c r="L372"/>
      <c r="M372" s="68"/>
      <c r="N372" s="68"/>
      <c r="O372" s="68"/>
      <c r="P372" s="68"/>
      <c r="Q372" s="68"/>
      <c r="R372" s="68"/>
      <c r="S372" s="68"/>
      <c r="T372" s="69"/>
      <c r="U372" s="69"/>
      <c r="V372" s="69"/>
      <c r="W372" s="69"/>
      <c r="X372" s="69"/>
      <c r="Y372" s="69"/>
    </row>
    <row r="373" spans="1:25" x14ac:dyDescent="0.25">
      <c r="B373" t="s">
        <v>122</v>
      </c>
      <c r="F373" s="517">
        <f>SUM(F369:F372)</f>
        <v>147710.90222222221</v>
      </c>
      <c r="M373" s="68"/>
      <c r="N373" s="124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</row>
    <row r="374" spans="1:25" x14ac:dyDescent="0.25">
      <c r="F374" s="2"/>
      <c r="M374" s="125"/>
      <c r="N374" s="126"/>
      <c r="O374" s="127"/>
      <c r="P374" s="68"/>
      <c r="Q374" s="68"/>
      <c r="R374" s="68"/>
      <c r="S374" s="68"/>
      <c r="T374" s="68"/>
      <c r="U374" s="68"/>
      <c r="V374" s="68"/>
      <c r="W374" s="68"/>
      <c r="X374" s="68"/>
      <c r="Y374" s="68"/>
    </row>
    <row r="375" spans="1:25" x14ac:dyDescent="0.25">
      <c r="A375" t="s">
        <v>123</v>
      </c>
      <c r="B375" s="2"/>
      <c r="C375" s="2"/>
      <c r="D375" s="2"/>
      <c r="E375" s="2"/>
      <c r="F375" s="4">
        <f>F363</f>
        <v>134718.65557889821</v>
      </c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</row>
    <row r="376" spans="1:25" x14ac:dyDescent="0.25">
      <c r="A376" t="s">
        <v>124</v>
      </c>
      <c r="B376" s="2"/>
      <c r="C376" s="2"/>
      <c r="D376" s="2"/>
      <c r="E376" s="2"/>
      <c r="F376" s="159">
        <f>F373-F375</f>
        <v>12992.246643324004</v>
      </c>
      <c r="M376" s="108"/>
      <c r="N376" s="109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</row>
    <row r="377" spans="1:25" hidden="1" x14ac:dyDescent="0.25">
      <c r="F377" s="7">
        <f>F373/F375</f>
        <v>1.0964398478257904</v>
      </c>
      <c r="M377" s="108"/>
      <c r="N377" s="109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</row>
    <row r="378" spans="1:25" hidden="1" x14ac:dyDescent="0.25">
      <c r="A378" s="82" t="s">
        <v>125</v>
      </c>
      <c r="M378" s="108"/>
      <c r="N378" s="109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</row>
    <row r="379" spans="1:25" hidden="1" x14ac:dyDescent="0.25">
      <c r="C379" s="98" t="s">
        <v>126</v>
      </c>
      <c r="D379" s="98" t="s">
        <v>127</v>
      </c>
      <c r="E379" s="98" t="s">
        <v>128</v>
      </c>
      <c r="F379" s="98" t="s">
        <v>129</v>
      </c>
      <c r="M379" s="108"/>
      <c r="N379" s="109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</row>
    <row r="380" spans="1:25" hidden="1" x14ac:dyDescent="0.25">
      <c r="A380" s="97" t="s">
        <v>130</v>
      </c>
      <c r="B380" s="29"/>
      <c r="C380" t="s">
        <v>131</v>
      </c>
      <c r="D380" s="29">
        <v>35000</v>
      </c>
      <c r="M380" s="108"/>
      <c r="N380" s="109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</row>
    <row r="381" spans="1:25" hidden="1" x14ac:dyDescent="0.25">
      <c r="C381" t="s">
        <v>132</v>
      </c>
      <c r="D381" s="29">
        <v>1200000</v>
      </c>
      <c r="E381" s="29">
        <v>4094</v>
      </c>
      <c r="F381" s="2">
        <v>95000</v>
      </c>
      <c r="H381" s="502">
        <f>ROUND(1200000/4094,0)</f>
        <v>293</v>
      </c>
      <c r="I381" t="s">
        <v>133</v>
      </c>
      <c r="M381" s="108"/>
      <c r="N381" s="109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</row>
    <row r="382" spans="1:25" hidden="1" x14ac:dyDescent="0.25">
      <c r="C382" s="23" t="s">
        <v>134</v>
      </c>
      <c r="D382" s="29">
        <v>5300</v>
      </c>
      <c r="E382" s="29">
        <v>5300</v>
      </c>
      <c r="F382" s="2">
        <v>35000</v>
      </c>
      <c r="M382" s="108"/>
      <c r="N382" s="109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</row>
    <row r="383" spans="1:25" hidden="1" x14ac:dyDescent="0.25">
      <c r="C383" s="103" t="s">
        <v>23</v>
      </c>
      <c r="D383" s="104"/>
      <c r="E383" s="104">
        <f>SUM(E381:E382)</f>
        <v>9394</v>
      </c>
      <c r="F383" s="106">
        <f>SUM(F381:F382)</f>
        <v>130000</v>
      </c>
      <c r="M383" s="108"/>
      <c r="N383" s="109"/>
      <c r="O383" s="68"/>
      <c r="P383" s="71"/>
      <c r="Q383" s="68"/>
      <c r="R383" s="68"/>
      <c r="S383" s="68"/>
      <c r="T383" s="68"/>
      <c r="U383" s="68"/>
      <c r="V383" s="68"/>
      <c r="W383" s="68"/>
      <c r="X383" s="68"/>
      <c r="Y383" s="68"/>
    </row>
    <row r="384" spans="1:25" hidden="1" x14ac:dyDescent="0.25">
      <c r="C384" t="s">
        <v>135</v>
      </c>
      <c r="D384" s="29"/>
      <c r="E384" s="29">
        <f>E383/D380*1000</f>
        <v>268.40000000000003</v>
      </c>
      <c r="M384" s="108"/>
      <c r="N384" s="109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</row>
    <row r="385" spans="1:25" hidden="1" x14ac:dyDescent="0.25">
      <c r="C385" t="s">
        <v>136</v>
      </c>
      <c r="D385" s="29"/>
      <c r="E385" s="29"/>
      <c r="F385" s="112">
        <f>F383/D380</f>
        <v>3.7142857142857144</v>
      </c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</row>
    <row r="386" spans="1:25" hidden="1" x14ac:dyDescent="0.25">
      <c r="D386" s="29"/>
      <c r="E386" s="29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</row>
    <row r="387" spans="1:25" hidden="1" x14ac:dyDescent="0.25">
      <c r="C387" s="98" t="s">
        <v>126</v>
      </c>
      <c r="D387" s="98" t="s">
        <v>127</v>
      </c>
      <c r="E387" s="98" t="s">
        <v>128</v>
      </c>
      <c r="F387" s="98" t="s">
        <v>129</v>
      </c>
      <c r="M387" s="125"/>
      <c r="N387" s="126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</row>
    <row r="388" spans="1:25" hidden="1" x14ac:dyDescent="0.25">
      <c r="A388" s="97" t="s">
        <v>137</v>
      </c>
      <c r="B388" s="29"/>
      <c r="C388" t="s">
        <v>131</v>
      </c>
      <c r="D388" s="29">
        <v>116378</v>
      </c>
      <c r="G388" s="7">
        <f>D388/D380</f>
        <v>3.3250857142857142</v>
      </c>
      <c r="H388" t="s">
        <v>138</v>
      </c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</row>
    <row r="389" spans="1:25" hidden="1" x14ac:dyDescent="0.25">
      <c r="B389" s="29"/>
      <c r="C389" s="23" t="s">
        <v>139</v>
      </c>
      <c r="D389" s="29">
        <v>60</v>
      </c>
      <c r="E389">
        <f>ROUND(D389*D388/1000,-1)</f>
        <v>6980</v>
      </c>
      <c r="H389" t="s">
        <v>140</v>
      </c>
      <c r="M389" s="68"/>
      <c r="N389" s="109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</row>
    <row r="390" spans="1:25" hidden="1" x14ac:dyDescent="0.25">
      <c r="C390" s="23" t="s">
        <v>141</v>
      </c>
      <c r="D390" s="29">
        <f>ROUND(E391*H381,-3)</f>
        <v>1023000</v>
      </c>
      <c r="E390" s="29">
        <v>3491</v>
      </c>
      <c r="F390" s="2">
        <f>ROUND(D390*0.08,-3)</f>
        <v>82000</v>
      </c>
      <c r="H390" t="s">
        <v>142</v>
      </c>
      <c r="M390" s="68"/>
      <c r="N390" s="109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</row>
    <row r="391" spans="1:25" hidden="1" x14ac:dyDescent="0.25">
      <c r="C391" s="23" t="s">
        <v>143</v>
      </c>
      <c r="E391" s="29">
        <v>3491</v>
      </c>
      <c r="F391" s="2">
        <f>ROUND(E391*6.6,-3)</f>
        <v>23000</v>
      </c>
      <c r="H391" t="s">
        <v>144</v>
      </c>
      <c r="M391" s="68"/>
      <c r="N391" s="109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</row>
    <row r="392" spans="1:25" hidden="1" x14ac:dyDescent="0.25">
      <c r="C392" s="103" t="s">
        <v>23</v>
      </c>
      <c r="D392" s="104"/>
      <c r="E392" s="104">
        <f>SUM(E390:E391)</f>
        <v>6982</v>
      </c>
      <c r="F392" s="106">
        <f>SUM(F390:F391)</f>
        <v>105000</v>
      </c>
      <c r="M392" s="68"/>
      <c r="N392" s="109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</row>
    <row r="393" spans="1:25" hidden="1" x14ac:dyDescent="0.25">
      <c r="C393" t="s">
        <v>135</v>
      </c>
      <c r="D393" s="29"/>
      <c r="E393" s="29">
        <f>E392/D388*1000</f>
        <v>59.994156971248856</v>
      </c>
      <c r="M393" s="108"/>
      <c r="N393" s="109"/>
      <c r="O393" s="68"/>
      <c r="P393" s="71"/>
      <c r="Q393" s="68"/>
      <c r="R393" s="68"/>
      <c r="S393" s="68"/>
      <c r="T393" s="68"/>
      <c r="U393" s="68"/>
      <c r="V393" s="68"/>
      <c r="W393" s="68"/>
      <c r="X393" s="68"/>
      <c r="Y393" s="68"/>
    </row>
    <row r="394" spans="1:25" hidden="1" x14ac:dyDescent="0.25">
      <c r="C394" t="s">
        <v>136</v>
      </c>
      <c r="D394" s="29"/>
      <c r="E394" s="29"/>
      <c r="F394" s="112">
        <f>F392/D388</f>
        <v>0.90223238069050848</v>
      </c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</row>
    <row r="395" spans="1:25" hidden="1" x14ac:dyDescent="0.25"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</row>
    <row r="396" spans="1:25" hidden="1" x14ac:dyDescent="0.25">
      <c r="A396" s="97" t="s">
        <v>145</v>
      </c>
      <c r="B396" t="s">
        <v>146</v>
      </c>
      <c r="D396" s="113">
        <f>E384</f>
        <v>268.40000000000003</v>
      </c>
      <c r="E396" s="114" t="s">
        <v>147</v>
      </c>
      <c r="F396" s="113">
        <f>D389</f>
        <v>60</v>
      </c>
      <c r="G396" s="115" t="s">
        <v>148</v>
      </c>
      <c r="H396" s="7">
        <f>(D396-F396)/E397</f>
        <v>0.77645305514157981</v>
      </c>
      <c r="I396" t="s">
        <v>149</v>
      </c>
      <c r="M396" s="68"/>
      <c r="N396" s="12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</row>
    <row r="397" spans="1:25" hidden="1" x14ac:dyDescent="0.25">
      <c r="D397" s="502"/>
      <c r="E397" s="116">
        <f>E384</f>
        <v>268.40000000000003</v>
      </c>
      <c r="F397" s="502"/>
      <c r="M397" s="125"/>
      <c r="N397" s="126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</row>
    <row r="398" spans="1:25" hidden="1" x14ac:dyDescent="0.25">
      <c r="D398" s="502"/>
      <c r="E398" s="502"/>
      <c r="F398" s="502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</row>
    <row r="399" spans="1:25" hidden="1" x14ac:dyDescent="0.25">
      <c r="B399" t="s">
        <v>150</v>
      </c>
      <c r="D399" s="117">
        <f>F383</f>
        <v>130000</v>
      </c>
      <c r="E399" s="118" t="s">
        <v>147</v>
      </c>
      <c r="F399" s="117">
        <f>F392</f>
        <v>105000</v>
      </c>
      <c r="G399" s="115" t="s">
        <v>148</v>
      </c>
      <c r="H399" s="7">
        <f>(D399-F399)/E400</f>
        <v>0.19230769230769232</v>
      </c>
      <c r="I399" t="s">
        <v>151</v>
      </c>
      <c r="M399" s="108"/>
      <c r="N399" s="109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</row>
    <row r="400" spans="1:25" hidden="1" x14ac:dyDescent="0.25">
      <c r="D400" s="101"/>
      <c r="E400" s="101">
        <f>F383</f>
        <v>130000</v>
      </c>
      <c r="F400" s="101"/>
      <c r="M400" s="108"/>
      <c r="N400" s="109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</row>
    <row r="401" spans="1:25" hidden="1" x14ac:dyDescent="0.25">
      <c r="D401" s="101"/>
      <c r="E401" s="101"/>
      <c r="F401" s="101"/>
      <c r="M401" s="108"/>
      <c r="N401" s="109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</row>
    <row r="402" spans="1:25" hidden="1" x14ac:dyDescent="0.25">
      <c r="B402" t="s">
        <v>152</v>
      </c>
      <c r="D402" s="119">
        <f>F385</f>
        <v>3.7142857142857144</v>
      </c>
      <c r="E402" s="120"/>
      <c r="G402" s="115" t="s">
        <v>148</v>
      </c>
      <c r="H402" s="7">
        <f>D402/D403</f>
        <v>4.1167727891156467</v>
      </c>
      <c r="I402" t="s">
        <v>153</v>
      </c>
      <c r="M402" s="108"/>
      <c r="N402" s="109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</row>
    <row r="403" spans="1:25" hidden="1" x14ac:dyDescent="0.25">
      <c r="D403" s="121">
        <f>F394</f>
        <v>0.90223238069050848</v>
      </c>
      <c r="E403" s="122"/>
      <c r="F403" s="123"/>
      <c r="L403" s="68"/>
      <c r="M403" s="108"/>
      <c r="N403" s="109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</row>
    <row r="404" spans="1:25" hidden="1" x14ac:dyDescent="0.25">
      <c r="E404" s="103"/>
      <c r="F404" s="106"/>
      <c r="K404" s="68"/>
      <c r="L404" s="68"/>
      <c r="M404" s="108"/>
      <c r="N404" s="109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</row>
    <row r="405" spans="1:25" x14ac:dyDescent="0.25">
      <c r="K405" s="68"/>
      <c r="L405" s="68"/>
      <c r="M405" s="108"/>
      <c r="N405" s="109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</row>
    <row r="406" spans="1:25" x14ac:dyDescent="0.25">
      <c r="K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</row>
    <row r="407" spans="1:25" x14ac:dyDescent="0.25">
      <c r="A407" s="82" t="s">
        <v>412</v>
      </c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</row>
    <row r="408" spans="1:25" x14ac:dyDescent="0.25">
      <c r="C408" s="98" t="s">
        <v>126</v>
      </c>
      <c r="D408" s="98" t="s">
        <v>127</v>
      </c>
      <c r="E408" s="98" t="s">
        <v>128</v>
      </c>
      <c r="F408" s="98" t="s">
        <v>129</v>
      </c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</row>
    <row r="409" spans="1:25" x14ac:dyDescent="0.25">
      <c r="A409" s="97" t="s">
        <v>130</v>
      </c>
      <c r="B409" s="29"/>
      <c r="C409" t="s">
        <v>131</v>
      </c>
      <c r="D409" s="29">
        <v>35000</v>
      </c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</row>
    <row r="410" spans="1:25" x14ac:dyDescent="0.25">
      <c r="C410" t="s">
        <v>132</v>
      </c>
      <c r="D410" s="29">
        <v>1200000</v>
      </c>
      <c r="E410" s="29">
        <v>4094</v>
      </c>
      <c r="F410" s="2">
        <v>95000</v>
      </c>
      <c r="H410" s="502">
        <f>ROUND(1200000/4094,0)</f>
        <v>293</v>
      </c>
      <c r="I410" t="s">
        <v>133</v>
      </c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</row>
    <row r="411" spans="1:25" x14ac:dyDescent="0.25">
      <c r="C411" s="23" t="s">
        <v>134</v>
      </c>
      <c r="D411" s="29">
        <v>5300</v>
      </c>
      <c r="E411" s="29">
        <v>5300</v>
      </c>
      <c r="F411" s="2">
        <v>35000</v>
      </c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</row>
    <row r="412" spans="1:25" x14ac:dyDescent="0.25">
      <c r="C412" s="103" t="s">
        <v>23</v>
      </c>
      <c r="D412" s="104"/>
      <c r="E412" s="104">
        <f>SUM(E410:E411)</f>
        <v>9394</v>
      </c>
      <c r="F412" s="106">
        <f>SUM(F410:F411)</f>
        <v>130000</v>
      </c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</row>
    <row r="413" spans="1:25" x14ac:dyDescent="0.25">
      <c r="C413" t="s">
        <v>135</v>
      </c>
      <c r="D413" s="29"/>
      <c r="E413" s="29">
        <f>E412/D409*1000</f>
        <v>268.40000000000003</v>
      </c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</row>
    <row r="414" spans="1:25" x14ac:dyDescent="0.25">
      <c r="C414" t="s">
        <v>136</v>
      </c>
      <c r="D414" s="29"/>
      <c r="E414" s="29"/>
      <c r="F414" s="518">
        <f>F412/D409</f>
        <v>3.7142857142857144</v>
      </c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</row>
    <row r="415" spans="1:25" x14ac:dyDescent="0.25">
      <c r="D415" s="29"/>
      <c r="E415" s="29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</row>
    <row r="416" spans="1:25" x14ac:dyDescent="0.25">
      <c r="C416" s="98" t="s">
        <v>126</v>
      </c>
      <c r="D416" s="98" t="s">
        <v>127</v>
      </c>
      <c r="E416" s="98" t="s">
        <v>128</v>
      </c>
      <c r="F416" s="98" t="s">
        <v>129</v>
      </c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</row>
    <row r="417" spans="1:25" x14ac:dyDescent="0.25">
      <c r="A417" s="97" t="s">
        <v>137</v>
      </c>
      <c r="B417" s="29"/>
      <c r="C417" t="s">
        <v>131</v>
      </c>
      <c r="D417" s="262">
        <v>148793</v>
      </c>
      <c r="G417" s="7">
        <f>D417/D409</f>
        <v>4.2512285714285714</v>
      </c>
      <c r="H417" t="s">
        <v>138</v>
      </c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</row>
    <row r="418" spans="1:25" x14ac:dyDescent="0.25">
      <c r="B418" s="29"/>
      <c r="C418" s="23" t="s">
        <v>139</v>
      </c>
      <c r="D418" s="29">
        <v>60</v>
      </c>
      <c r="E418">
        <f>ROUND(D418*D417/1000,-1)</f>
        <v>8930</v>
      </c>
      <c r="H418" t="s">
        <v>140</v>
      </c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</row>
    <row r="419" spans="1:25" x14ac:dyDescent="0.25">
      <c r="C419" s="23" t="s">
        <v>141</v>
      </c>
      <c r="D419" s="29">
        <f>ROUND(E420*H410,-3)</f>
        <v>1023000</v>
      </c>
      <c r="E419" s="29">
        <v>3491</v>
      </c>
      <c r="F419" s="2">
        <f>ROUND(D419*0.08,-3)</f>
        <v>82000</v>
      </c>
      <c r="H419" t="s">
        <v>142</v>
      </c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</row>
    <row r="420" spans="1:25" x14ac:dyDescent="0.25">
      <c r="C420" s="23" t="s">
        <v>143</v>
      </c>
      <c r="E420" s="29">
        <v>3491</v>
      </c>
      <c r="F420" s="2">
        <f>ROUND(E420*6.6,-3)</f>
        <v>23000</v>
      </c>
      <c r="H420" t="s">
        <v>144</v>
      </c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</row>
    <row r="421" spans="1:25" x14ac:dyDescent="0.25">
      <c r="C421" s="103" t="s">
        <v>23</v>
      </c>
      <c r="D421" s="104"/>
      <c r="E421" s="104">
        <f>SUM(E419:E420)</f>
        <v>6982</v>
      </c>
      <c r="F421" s="106">
        <f>SUM(F419:F420)</f>
        <v>105000</v>
      </c>
      <c r="O421" s="68"/>
      <c r="P421" s="71"/>
      <c r="Q421" s="68"/>
      <c r="R421" s="68"/>
      <c r="S421" s="68"/>
      <c r="T421" s="68"/>
      <c r="U421" s="68"/>
      <c r="V421" s="68"/>
      <c r="W421" s="68"/>
      <c r="X421" s="68"/>
      <c r="Y421" s="68"/>
    </row>
    <row r="422" spans="1:25" x14ac:dyDescent="0.25">
      <c r="C422" t="s">
        <v>135</v>
      </c>
      <c r="D422" s="29"/>
      <c r="E422" s="29">
        <f>E421/D417*1000</f>
        <v>46.924250468772051</v>
      </c>
      <c r="O422" s="68"/>
      <c r="P422" s="71"/>
      <c r="Q422" s="68"/>
      <c r="R422" s="68"/>
      <c r="S422" s="68"/>
      <c r="T422" s="68"/>
      <c r="U422" s="68"/>
      <c r="V422" s="68"/>
      <c r="W422" s="68"/>
      <c r="X422" s="68"/>
      <c r="Y422" s="68"/>
    </row>
    <row r="423" spans="1:25" x14ac:dyDescent="0.25">
      <c r="C423" t="s">
        <v>136</v>
      </c>
      <c r="D423" s="29"/>
      <c r="E423" s="29"/>
      <c r="F423" s="518">
        <f>F421/D417</f>
        <v>0.70567835852493066</v>
      </c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</row>
    <row r="424" spans="1:25" x14ac:dyDescent="0.25"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</row>
    <row r="425" spans="1:25" x14ac:dyDescent="0.25">
      <c r="A425" s="97" t="s">
        <v>145</v>
      </c>
      <c r="B425" t="s">
        <v>146</v>
      </c>
      <c r="D425" s="113">
        <f>E413</f>
        <v>268.40000000000003</v>
      </c>
      <c r="E425" s="114" t="s">
        <v>147</v>
      </c>
      <c r="F425" s="113">
        <f>D418</f>
        <v>60</v>
      </c>
      <c r="G425" s="115" t="s">
        <v>148</v>
      </c>
      <c r="H425" s="7">
        <f>(D425-F425)/E426</f>
        <v>0.77645305514157981</v>
      </c>
      <c r="I425" t="s">
        <v>149</v>
      </c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</row>
    <row r="426" spans="1:25" x14ac:dyDescent="0.25">
      <c r="D426" s="502"/>
      <c r="E426" s="116">
        <f>E413</f>
        <v>268.40000000000003</v>
      </c>
      <c r="F426" s="502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</row>
    <row r="427" spans="1:25" x14ac:dyDescent="0.25">
      <c r="D427" s="502"/>
      <c r="E427" s="502"/>
      <c r="F427" s="502"/>
      <c r="O427" s="125"/>
      <c r="P427" s="68"/>
      <c r="Q427" s="68"/>
      <c r="R427" s="68"/>
      <c r="S427" s="68"/>
      <c r="T427" s="68"/>
      <c r="U427" s="68"/>
      <c r="V427" s="68"/>
      <c r="W427" s="68"/>
      <c r="X427" s="68"/>
      <c r="Y427" s="68"/>
    </row>
    <row r="428" spans="1:25" x14ac:dyDescent="0.25">
      <c r="B428" t="s">
        <v>150</v>
      </c>
      <c r="D428" s="117">
        <f>F412</f>
        <v>130000</v>
      </c>
      <c r="E428" s="118" t="s">
        <v>147</v>
      </c>
      <c r="F428" s="117">
        <f>F421</f>
        <v>105000</v>
      </c>
      <c r="G428" s="115" t="s">
        <v>148</v>
      </c>
      <c r="H428" s="7">
        <f>(D428-F428)/E429</f>
        <v>0.19230769230769232</v>
      </c>
      <c r="I428" t="s">
        <v>151</v>
      </c>
      <c r="O428" s="71"/>
      <c r="P428" s="68"/>
      <c r="Q428" s="68"/>
      <c r="R428" s="68"/>
      <c r="S428" s="68"/>
      <c r="T428" s="68"/>
      <c r="U428" s="68"/>
      <c r="V428" s="68"/>
      <c r="W428" s="68"/>
      <c r="X428" s="68"/>
      <c r="Y428" s="68"/>
    </row>
    <row r="429" spans="1:25" x14ac:dyDescent="0.25">
      <c r="D429" s="101"/>
      <c r="E429" s="101">
        <f>F412</f>
        <v>130000</v>
      </c>
      <c r="F429" s="101"/>
      <c r="G429" s="95">
        <f>D428-F428</f>
        <v>25000</v>
      </c>
      <c r="O429" s="71"/>
      <c r="P429" s="68"/>
      <c r="Q429" s="68"/>
      <c r="R429" s="68"/>
      <c r="S429" s="68"/>
      <c r="T429" s="68"/>
      <c r="U429" s="68"/>
      <c r="V429" s="68"/>
      <c r="W429" s="68"/>
      <c r="X429" s="68"/>
      <c r="Y429" s="68"/>
    </row>
    <row r="430" spans="1:25" x14ac:dyDescent="0.25">
      <c r="B430" s="381" t="s">
        <v>413</v>
      </c>
      <c r="D430" s="101"/>
      <c r="E430" s="101"/>
      <c r="F430" s="101"/>
      <c r="G430" s="95">
        <f>F372</f>
        <v>100000</v>
      </c>
      <c r="O430" s="71"/>
      <c r="P430" s="68"/>
      <c r="Q430" s="68"/>
      <c r="R430" s="68"/>
      <c r="S430" s="68"/>
      <c r="T430" s="68"/>
      <c r="U430" s="68"/>
      <c r="V430" s="68"/>
      <c r="W430" s="68"/>
      <c r="X430" s="68"/>
      <c r="Y430" s="68"/>
    </row>
    <row r="431" spans="1:25" x14ac:dyDescent="0.25">
      <c r="B431" t="s">
        <v>414</v>
      </c>
      <c r="D431" s="101"/>
      <c r="E431" s="101"/>
      <c r="F431" s="101"/>
      <c r="G431" s="517">
        <f>SUM(G429:G430)</f>
        <v>125000</v>
      </c>
      <c r="H431" t="s">
        <v>117</v>
      </c>
      <c r="O431" s="71"/>
      <c r="P431" s="68"/>
      <c r="Q431" s="68"/>
      <c r="R431" s="68"/>
      <c r="S431" s="68"/>
      <c r="T431" s="68"/>
      <c r="U431" s="68"/>
      <c r="V431" s="68"/>
      <c r="W431" s="68"/>
      <c r="X431" s="68"/>
      <c r="Y431" s="68"/>
    </row>
    <row r="432" spans="1:25" x14ac:dyDescent="0.25">
      <c r="D432" s="101"/>
      <c r="E432" s="101"/>
      <c r="F432" s="101"/>
      <c r="O432" s="71"/>
      <c r="P432" s="68"/>
      <c r="Q432" s="68"/>
      <c r="R432" s="68"/>
      <c r="S432" s="68"/>
      <c r="T432" s="68"/>
      <c r="U432" s="68"/>
      <c r="V432" s="68"/>
      <c r="W432" s="68"/>
      <c r="X432" s="68"/>
      <c r="Y432" s="68"/>
    </row>
    <row r="433" spans="1:25" x14ac:dyDescent="0.25">
      <c r="B433" t="s">
        <v>415</v>
      </c>
      <c r="D433" s="519">
        <f>F414</f>
        <v>3.7142857142857144</v>
      </c>
      <c r="E433" s="120"/>
      <c r="G433" s="115" t="s">
        <v>148</v>
      </c>
      <c r="H433" s="520">
        <f>D433/D434</f>
        <v>5.2634258503401359</v>
      </c>
      <c r="I433" t="s">
        <v>153</v>
      </c>
      <c r="O433" s="71"/>
      <c r="P433" s="68"/>
      <c r="Q433" s="68"/>
      <c r="R433" s="68"/>
      <c r="S433" s="68"/>
      <c r="T433" s="68"/>
      <c r="U433" s="68"/>
      <c r="V433" s="68"/>
      <c r="W433" s="68"/>
      <c r="X433" s="68"/>
      <c r="Y433" s="68"/>
    </row>
    <row r="434" spans="1:25" x14ac:dyDescent="0.25">
      <c r="D434" s="521">
        <f>F423</f>
        <v>0.70567835852493066</v>
      </c>
      <c r="E434" s="122"/>
      <c r="F434" s="123"/>
      <c r="O434" s="71"/>
      <c r="P434" s="68"/>
      <c r="Q434" s="68"/>
      <c r="R434" s="68"/>
      <c r="S434" s="68"/>
      <c r="T434" s="68"/>
      <c r="U434" s="68"/>
      <c r="V434" s="68"/>
      <c r="W434" s="68"/>
      <c r="X434" s="68"/>
      <c r="Y434" s="68"/>
    </row>
    <row r="435" spans="1:25" x14ac:dyDescent="0.25">
      <c r="B435" s="381" t="s">
        <v>416</v>
      </c>
      <c r="C435" s="381"/>
      <c r="D435" s="381"/>
      <c r="E435" s="381"/>
      <c r="F435" s="381"/>
      <c r="G435" s="381"/>
      <c r="O435" s="71"/>
      <c r="P435" s="68"/>
      <c r="Q435" s="68"/>
      <c r="R435" s="68"/>
      <c r="S435" s="68"/>
      <c r="T435" s="68"/>
      <c r="U435" s="68"/>
      <c r="V435" s="68"/>
      <c r="W435" s="68"/>
      <c r="X435" s="68"/>
      <c r="Y435" s="68"/>
    </row>
    <row r="436" spans="1:25" x14ac:dyDescent="0.25">
      <c r="B436" s="6"/>
      <c r="C436" s="6"/>
      <c r="D436" s="6"/>
      <c r="E436" s="6"/>
      <c r="F436" s="6"/>
      <c r="G436" s="6"/>
      <c r="H436" s="6"/>
      <c r="O436" s="71"/>
      <c r="P436" s="68"/>
      <c r="Q436" s="68"/>
      <c r="R436" s="68"/>
      <c r="S436" s="68"/>
      <c r="T436" s="68"/>
      <c r="U436" s="68"/>
      <c r="V436" s="68"/>
      <c r="W436" s="68"/>
      <c r="X436" s="68"/>
      <c r="Y436" s="68"/>
    </row>
    <row r="437" spans="1:25" x14ac:dyDescent="0.25">
      <c r="B437" s="6"/>
      <c r="C437" s="6"/>
      <c r="D437" s="6"/>
      <c r="E437" s="6"/>
      <c r="F437" s="6"/>
      <c r="G437" s="6"/>
      <c r="H437" s="6"/>
      <c r="O437" s="71"/>
      <c r="P437" s="68"/>
      <c r="Q437" s="68"/>
      <c r="R437" s="68"/>
      <c r="S437" s="68"/>
      <c r="T437" s="68"/>
      <c r="U437" s="68"/>
      <c r="V437" s="68"/>
      <c r="W437" s="68"/>
      <c r="X437" s="68"/>
      <c r="Y437" s="68"/>
    </row>
    <row r="438" spans="1:25" x14ac:dyDescent="0.25">
      <c r="C438" s="1" t="s">
        <v>325</v>
      </c>
      <c r="D438" s="122"/>
      <c r="E438" s="122"/>
      <c r="F438" s="123"/>
      <c r="O438" s="71"/>
      <c r="P438" s="68"/>
      <c r="Q438" s="68"/>
      <c r="R438" s="68"/>
      <c r="S438" s="68"/>
      <c r="T438" s="68"/>
      <c r="U438" s="68"/>
      <c r="V438" s="68"/>
      <c r="W438" s="68"/>
      <c r="X438" s="68"/>
      <c r="Y438" s="68"/>
    </row>
    <row r="439" spans="1:25" x14ac:dyDescent="0.25">
      <c r="A439">
        <v>1</v>
      </c>
      <c r="B439">
        <v>2018</v>
      </c>
      <c r="C439" s="2"/>
      <c r="D439" s="122"/>
      <c r="E439" s="122"/>
      <c r="F439" s="123"/>
      <c r="O439" s="71"/>
      <c r="P439" s="68"/>
      <c r="Q439" s="68"/>
      <c r="R439" s="68"/>
      <c r="S439" s="68"/>
      <c r="T439" s="68"/>
      <c r="U439" s="68"/>
      <c r="V439" s="68"/>
      <c r="W439" s="68"/>
      <c r="X439" s="68"/>
      <c r="Y439" s="68"/>
    </row>
    <row r="440" spans="1:25" x14ac:dyDescent="0.25">
      <c r="A440">
        <f t="shared" ref="A440:A478" si="28">A439+1</f>
        <v>2</v>
      </c>
      <c r="B440">
        <f t="shared" ref="B440:B478" si="29">B439+1</f>
        <v>2019</v>
      </c>
      <c r="C440" s="2"/>
      <c r="D440" s="122"/>
      <c r="E440" s="122"/>
      <c r="F440" s="123"/>
      <c r="O440" s="71"/>
      <c r="P440" s="68"/>
      <c r="Q440" s="68"/>
      <c r="R440" s="68"/>
      <c r="S440" s="68"/>
      <c r="T440" s="68"/>
      <c r="U440" s="68"/>
      <c r="V440" s="68"/>
      <c r="W440" s="68"/>
      <c r="X440" s="68"/>
      <c r="Y440" s="68"/>
    </row>
    <row r="441" spans="1:25" x14ac:dyDescent="0.25">
      <c r="A441">
        <f t="shared" si="28"/>
        <v>3</v>
      </c>
      <c r="B441">
        <f t="shared" si="29"/>
        <v>2020</v>
      </c>
      <c r="C441" s="2"/>
      <c r="D441" s="122"/>
      <c r="E441" s="122"/>
      <c r="F441" s="123"/>
      <c r="O441" s="71"/>
      <c r="P441" s="68"/>
      <c r="Q441" s="68"/>
      <c r="R441" s="68"/>
      <c r="S441" s="68"/>
      <c r="T441" s="68"/>
      <c r="U441" s="68"/>
      <c r="V441" s="68"/>
      <c r="W441" s="68"/>
      <c r="X441" s="68"/>
      <c r="Y441" s="68"/>
    </row>
    <row r="442" spans="1:25" x14ac:dyDescent="0.25">
      <c r="A442">
        <f t="shared" si="28"/>
        <v>4</v>
      </c>
      <c r="B442">
        <f t="shared" si="29"/>
        <v>2021</v>
      </c>
      <c r="C442" s="2">
        <f>G431*((1+E48)^3)</f>
        <v>134888.59112930417</v>
      </c>
      <c r="D442" s="122"/>
      <c r="E442" s="122"/>
      <c r="F442" s="123"/>
      <c r="O442" s="71"/>
      <c r="P442" s="68"/>
      <c r="Q442" s="68"/>
      <c r="R442" s="68"/>
      <c r="S442" s="68"/>
      <c r="T442" s="68"/>
      <c r="U442" s="68"/>
      <c r="V442" s="68"/>
      <c r="W442" s="68"/>
      <c r="X442" s="68"/>
      <c r="Y442" s="68"/>
    </row>
    <row r="443" spans="1:25" x14ac:dyDescent="0.25">
      <c r="A443">
        <f t="shared" si="28"/>
        <v>5</v>
      </c>
      <c r="B443">
        <f t="shared" si="29"/>
        <v>2022</v>
      </c>
      <c r="C443" s="2">
        <f t="shared" ref="C443:C478" si="30">C442*(1+$E$48)</f>
        <v>138355.6674554357</v>
      </c>
      <c r="D443" s="122"/>
      <c r="E443" s="122"/>
      <c r="F443" s="123"/>
      <c r="O443" s="71"/>
      <c r="P443" s="68"/>
      <c r="Q443" s="68"/>
      <c r="R443" s="68"/>
      <c r="S443" s="68"/>
      <c r="T443" s="68"/>
      <c r="U443" s="68"/>
      <c r="V443" s="68"/>
      <c r="W443" s="68"/>
      <c r="X443" s="68"/>
      <c r="Y443" s="68"/>
    </row>
    <row r="444" spans="1:25" x14ac:dyDescent="0.25">
      <c r="A444">
        <f t="shared" si="28"/>
        <v>6</v>
      </c>
      <c r="B444">
        <f t="shared" si="29"/>
        <v>2023</v>
      </c>
      <c r="C444" s="2">
        <f t="shared" si="30"/>
        <v>141911.85894060761</v>
      </c>
      <c r="D444" s="122"/>
      <c r="E444" s="122"/>
      <c r="F444" s="123"/>
      <c r="O444" s="71"/>
      <c r="P444" s="68"/>
      <c r="Q444" s="68"/>
      <c r="R444" s="68"/>
      <c r="S444" s="68"/>
      <c r="T444" s="68"/>
      <c r="U444" s="68"/>
      <c r="V444" s="68"/>
      <c r="W444" s="68"/>
      <c r="X444" s="68"/>
      <c r="Y444" s="68"/>
    </row>
    <row r="445" spans="1:25" x14ac:dyDescent="0.25">
      <c r="A445">
        <f t="shared" si="28"/>
        <v>7</v>
      </c>
      <c r="B445">
        <f t="shared" si="29"/>
        <v>2024</v>
      </c>
      <c r="C445" s="2">
        <f t="shared" si="30"/>
        <v>145559.45613478875</v>
      </c>
      <c r="D445" s="122"/>
      <c r="E445" s="122"/>
      <c r="F445" s="123"/>
      <c r="O445" s="71"/>
      <c r="P445" s="68"/>
      <c r="Q445" s="68"/>
      <c r="R445" s="68"/>
      <c r="S445" s="68"/>
      <c r="T445" s="68"/>
      <c r="U445" s="68"/>
      <c r="V445" s="68"/>
      <c r="W445" s="68"/>
      <c r="X445" s="68"/>
      <c r="Y445" s="68"/>
    </row>
    <row r="446" spans="1:25" x14ac:dyDescent="0.25">
      <c r="A446">
        <f t="shared" si="28"/>
        <v>8</v>
      </c>
      <c r="B446">
        <f t="shared" si="29"/>
        <v>2025</v>
      </c>
      <c r="C446" s="2">
        <f t="shared" si="30"/>
        <v>149300.80846254592</v>
      </c>
      <c r="D446" s="122"/>
      <c r="E446" s="122"/>
      <c r="F446" s="123"/>
      <c r="O446" s="71"/>
      <c r="P446" s="68"/>
      <c r="Q446" s="68"/>
      <c r="R446" s="68"/>
      <c r="S446" s="68"/>
      <c r="T446" s="68"/>
      <c r="U446" s="68"/>
      <c r="V446" s="68"/>
      <c r="W446" s="68"/>
      <c r="X446" s="68"/>
      <c r="Y446" s="68"/>
    </row>
    <row r="447" spans="1:25" x14ac:dyDescent="0.25">
      <c r="A447">
        <f t="shared" si="28"/>
        <v>9</v>
      </c>
      <c r="B447">
        <f t="shared" si="29"/>
        <v>2026</v>
      </c>
      <c r="C447" s="2">
        <f t="shared" si="30"/>
        <v>153138.32573631287</v>
      </c>
      <c r="D447" s="122"/>
      <c r="E447" s="122"/>
      <c r="F447" s="123"/>
      <c r="O447" s="71"/>
      <c r="P447" s="68"/>
      <c r="Q447" s="68"/>
      <c r="R447" s="68"/>
      <c r="S447" s="68"/>
      <c r="T447" s="68"/>
      <c r="U447" s="68"/>
      <c r="V447" s="68"/>
      <c r="W447" s="68"/>
      <c r="X447" s="68"/>
      <c r="Y447" s="68"/>
    </row>
    <row r="448" spans="1:25" x14ac:dyDescent="0.25">
      <c r="A448">
        <f t="shared" si="28"/>
        <v>10</v>
      </c>
      <c r="B448">
        <f t="shared" si="29"/>
        <v>2027</v>
      </c>
      <c r="C448" s="2">
        <f t="shared" si="30"/>
        <v>157074.47970855524</v>
      </c>
      <c r="D448" s="122"/>
      <c r="E448" s="122"/>
      <c r="F448" s="123"/>
      <c r="O448" s="71"/>
      <c r="P448" s="68"/>
      <c r="Q448" s="68"/>
      <c r="R448" s="68"/>
      <c r="S448" s="68"/>
      <c r="T448" s="68"/>
      <c r="U448" s="68"/>
      <c r="V448" s="68"/>
      <c r="W448" s="68"/>
      <c r="X448" s="68"/>
      <c r="Y448" s="68"/>
    </row>
    <row r="449" spans="1:25" x14ac:dyDescent="0.25">
      <c r="A449">
        <f t="shared" si="28"/>
        <v>11</v>
      </c>
      <c r="B449">
        <f t="shared" si="29"/>
        <v>2028</v>
      </c>
      <c r="C449" s="2">
        <f t="shared" si="30"/>
        <v>161111.8056638313</v>
      </c>
      <c r="D449" s="122"/>
      <c r="E449" s="122"/>
      <c r="F449" s="123"/>
      <c r="O449" s="71"/>
      <c r="P449" s="68"/>
      <c r="Q449" s="68"/>
      <c r="R449" s="68"/>
      <c r="S449" s="68"/>
      <c r="T449" s="68"/>
      <c r="U449" s="68"/>
      <c r="V449" s="68"/>
      <c r="W449" s="68"/>
      <c r="X449" s="68"/>
      <c r="Y449" s="68"/>
    </row>
    <row r="450" spans="1:25" x14ac:dyDescent="0.25">
      <c r="A450">
        <f t="shared" si="28"/>
        <v>12</v>
      </c>
      <c r="B450">
        <f t="shared" si="29"/>
        <v>2029</v>
      </c>
      <c r="C450" s="2">
        <f t="shared" si="30"/>
        <v>165252.90405177363</v>
      </c>
      <c r="D450" s="122"/>
      <c r="E450" s="122"/>
      <c r="F450" s="123"/>
      <c r="O450" s="71"/>
      <c r="P450" s="68"/>
      <c r="Q450" s="68"/>
      <c r="R450" s="68"/>
      <c r="S450" s="68"/>
      <c r="T450" s="68"/>
      <c r="U450" s="68"/>
      <c r="V450" s="68"/>
      <c r="W450" s="68"/>
      <c r="X450" s="68"/>
      <c r="Y450" s="68"/>
    </row>
    <row r="451" spans="1:25" x14ac:dyDescent="0.25">
      <c r="A451">
        <f t="shared" si="28"/>
        <v>13</v>
      </c>
      <c r="B451">
        <f t="shared" si="29"/>
        <v>2030</v>
      </c>
      <c r="C451" s="2">
        <f t="shared" si="30"/>
        <v>169500.44216204394</v>
      </c>
      <c r="D451" s="122"/>
      <c r="E451" s="122"/>
      <c r="F451" s="123"/>
      <c r="O451" s="71"/>
      <c r="P451" s="68"/>
      <c r="Q451" s="68"/>
      <c r="R451" s="68"/>
      <c r="S451" s="68"/>
      <c r="T451" s="68"/>
      <c r="U451" s="68"/>
      <c r="V451" s="68"/>
      <c r="W451" s="68"/>
      <c r="X451" s="68"/>
      <c r="Y451" s="68"/>
    </row>
    <row r="452" spans="1:25" x14ac:dyDescent="0.25">
      <c r="A452">
        <f t="shared" si="28"/>
        <v>14</v>
      </c>
      <c r="B452">
        <f t="shared" si="29"/>
        <v>2031</v>
      </c>
      <c r="C452" s="2">
        <f t="shared" si="30"/>
        <v>173857.15584233962</v>
      </c>
      <c r="D452" s="122"/>
      <c r="E452" s="122"/>
      <c r="F452" s="123"/>
      <c r="O452" s="71"/>
      <c r="P452" s="68"/>
      <c r="Q452" s="68"/>
      <c r="R452" s="68"/>
      <c r="S452" s="68"/>
      <c r="T452" s="68"/>
      <c r="U452" s="68"/>
      <c r="V452" s="68"/>
      <c r="W452" s="68"/>
      <c r="X452" s="68"/>
      <c r="Y452" s="68"/>
    </row>
    <row r="453" spans="1:25" x14ac:dyDescent="0.25">
      <c r="A453">
        <f t="shared" si="28"/>
        <v>15</v>
      </c>
      <c r="B453">
        <f t="shared" si="29"/>
        <v>2032</v>
      </c>
      <c r="C453" s="2">
        <f t="shared" si="30"/>
        <v>178325.85126055861</v>
      </c>
      <c r="D453" s="122"/>
      <c r="E453" s="122"/>
      <c r="F453" s="123"/>
      <c r="O453" s="71"/>
      <c r="P453" s="68"/>
      <c r="Q453" s="68"/>
      <c r="R453" s="68"/>
      <c r="S453" s="68"/>
      <c r="T453" s="68"/>
      <c r="U453" s="68"/>
      <c r="V453" s="68"/>
      <c r="W453" s="68"/>
      <c r="X453" s="68"/>
      <c r="Y453" s="68"/>
    </row>
    <row r="454" spans="1:25" x14ac:dyDescent="0.25">
      <c r="A454">
        <f t="shared" si="28"/>
        <v>16</v>
      </c>
      <c r="B454">
        <f t="shared" si="29"/>
        <v>2033</v>
      </c>
      <c r="C454" s="2">
        <f t="shared" si="30"/>
        <v>182909.40671225774</v>
      </c>
      <c r="D454" s="122"/>
      <c r="E454" s="122"/>
      <c r="F454" s="123"/>
      <c r="O454" s="71"/>
      <c r="P454" s="68"/>
      <c r="Q454" s="68"/>
      <c r="R454" s="68"/>
      <c r="S454" s="68"/>
      <c r="T454" s="68"/>
      <c r="U454" s="68"/>
      <c r="V454" s="68"/>
      <c r="W454" s="68"/>
      <c r="X454" s="68"/>
      <c r="Y454" s="68"/>
    </row>
    <row r="455" spans="1:25" x14ac:dyDescent="0.25">
      <c r="A455">
        <f t="shared" si="28"/>
        <v>17</v>
      </c>
      <c r="B455">
        <f t="shared" si="29"/>
        <v>2034</v>
      </c>
      <c r="C455" s="2">
        <f t="shared" si="30"/>
        <v>187610.77447456855</v>
      </c>
      <c r="D455" s="122"/>
      <c r="E455" s="122"/>
      <c r="F455" s="123"/>
      <c r="O455" s="71"/>
      <c r="P455" s="68"/>
      <c r="Q455" s="68"/>
      <c r="R455" s="68"/>
      <c r="S455" s="68"/>
      <c r="T455" s="68"/>
      <c r="U455" s="68"/>
      <c r="V455" s="68"/>
      <c r="W455" s="68"/>
      <c r="X455" s="68"/>
      <c r="Y455" s="68"/>
    </row>
    <row r="456" spans="1:25" x14ac:dyDescent="0.25">
      <c r="A456">
        <f t="shared" si="28"/>
        <v>18</v>
      </c>
      <c r="B456">
        <f t="shared" si="29"/>
        <v>2035</v>
      </c>
      <c r="C456" s="2">
        <f t="shared" si="30"/>
        <v>192432.98270776484</v>
      </c>
      <c r="D456" s="122"/>
      <c r="E456" s="122"/>
      <c r="F456" s="123"/>
      <c r="O456" s="71"/>
      <c r="P456" s="68"/>
      <c r="Q456" s="68"/>
      <c r="R456" s="68"/>
      <c r="S456" s="68"/>
      <c r="T456" s="68"/>
      <c r="U456" s="68"/>
      <c r="V456" s="68"/>
      <c r="W456" s="68"/>
      <c r="X456" s="68"/>
      <c r="Y456" s="68"/>
    </row>
    <row r="457" spans="1:25" x14ac:dyDescent="0.25">
      <c r="A457">
        <f t="shared" si="28"/>
        <v>19</v>
      </c>
      <c r="B457">
        <f t="shared" si="29"/>
        <v>2036</v>
      </c>
      <c r="C457" s="2">
        <f t="shared" si="30"/>
        <v>197379.13740570672</v>
      </c>
      <c r="D457" s="122"/>
      <c r="E457" s="122"/>
      <c r="F457" s="123"/>
      <c r="O457" s="71"/>
      <c r="P457" s="68"/>
      <c r="Q457" s="68"/>
      <c r="R457" s="68"/>
      <c r="S457" s="68"/>
      <c r="T457" s="68"/>
      <c r="U457" s="68"/>
      <c r="V457" s="68"/>
      <c r="W457" s="68"/>
      <c r="X457" s="68"/>
      <c r="Y457" s="68"/>
    </row>
    <row r="458" spans="1:25" x14ac:dyDescent="0.25">
      <c r="A458">
        <f t="shared" si="28"/>
        <v>20</v>
      </c>
      <c r="B458">
        <f t="shared" si="29"/>
        <v>2037</v>
      </c>
      <c r="C458" s="2">
        <f t="shared" si="30"/>
        <v>202452.42439641737</v>
      </c>
      <c r="D458" s="122"/>
      <c r="E458" s="122"/>
      <c r="F458" s="123"/>
      <c r="O458" s="71"/>
      <c r="P458" s="68"/>
      <c r="Q458" s="68"/>
      <c r="R458" s="68"/>
      <c r="S458" s="68"/>
      <c r="T458" s="68"/>
      <c r="U458" s="68"/>
      <c r="V458" s="68"/>
      <c r="W458" s="68"/>
      <c r="X458" s="68"/>
      <c r="Y458" s="68"/>
    </row>
    <row r="459" spans="1:25" x14ac:dyDescent="0.25">
      <c r="A459">
        <f t="shared" si="28"/>
        <v>21</v>
      </c>
      <c r="B459">
        <f t="shared" si="29"/>
        <v>2038</v>
      </c>
      <c r="C459" s="2">
        <f t="shared" si="30"/>
        <v>207656.11139408118</v>
      </c>
      <c r="D459" s="122"/>
      <c r="E459" s="122"/>
      <c r="F459" s="123"/>
      <c r="O459" s="71"/>
      <c r="P459" s="68"/>
      <c r="Q459" s="68"/>
      <c r="R459" s="68"/>
      <c r="S459" s="68"/>
      <c r="T459" s="68"/>
      <c r="U459" s="68"/>
      <c r="V459" s="68"/>
      <c r="W459" s="68"/>
      <c r="X459" s="68"/>
      <c r="Y459" s="68"/>
    </row>
    <row r="460" spans="1:25" x14ac:dyDescent="0.25">
      <c r="A460">
        <f t="shared" si="28"/>
        <v>22</v>
      </c>
      <c r="B460">
        <f t="shared" si="29"/>
        <v>2039</v>
      </c>
      <c r="C460" s="2">
        <f t="shared" si="30"/>
        <v>212993.55010378495</v>
      </c>
      <c r="D460" s="122"/>
      <c r="E460" s="122"/>
      <c r="F460" s="123"/>
      <c r="O460" s="71"/>
      <c r="P460" s="68"/>
      <c r="Q460" s="68"/>
      <c r="R460" s="68"/>
      <c r="S460" s="68"/>
      <c r="T460" s="68"/>
      <c r="U460" s="68"/>
      <c r="V460" s="68"/>
      <c r="W460" s="68"/>
      <c r="X460" s="68"/>
      <c r="Y460" s="68"/>
    </row>
    <row r="461" spans="1:25" x14ac:dyDescent="0.25">
      <c r="A461">
        <f t="shared" si="28"/>
        <v>23</v>
      </c>
      <c r="B461">
        <f t="shared" si="29"/>
        <v>2040</v>
      </c>
      <c r="C461" s="2">
        <f t="shared" si="30"/>
        <v>218468.17838035765</v>
      </c>
      <c r="D461" s="122"/>
      <c r="E461" s="122"/>
      <c r="F461" s="123"/>
      <c r="O461" s="71"/>
      <c r="P461" s="68"/>
      <c r="Q461" s="68"/>
      <c r="R461" s="68"/>
      <c r="S461" s="68"/>
      <c r="T461" s="68"/>
      <c r="U461" s="68"/>
      <c r="V461" s="68"/>
      <c r="W461" s="68"/>
      <c r="X461" s="68"/>
      <c r="Y461" s="68"/>
    </row>
    <row r="462" spans="1:25" x14ac:dyDescent="0.25">
      <c r="A462">
        <f t="shared" si="28"/>
        <v>24</v>
      </c>
      <c r="B462">
        <f t="shared" si="29"/>
        <v>2041</v>
      </c>
      <c r="C462" s="2">
        <f t="shared" si="30"/>
        <v>224083.52244269967</v>
      </c>
      <c r="D462" s="122"/>
      <c r="E462" s="122"/>
      <c r="F462" s="123"/>
      <c r="O462" s="71"/>
      <c r="P462" s="68"/>
      <c r="Q462" s="68"/>
      <c r="R462" s="68"/>
      <c r="S462" s="68"/>
      <c r="T462" s="68"/>
      <c r="U462" s="68"/>
      <c r="V462" s="68"/>
      <c r="W462" s="68"/>
      <c r="X462" s="68"/>
      <c r="Y462" s="68"/>
    </row>
    <row r="463" spans="1:25" x14ac:dyDescent="0.25">
      <c r="A463">
        <f t="shared" si="28"/>
        <v>25</v>
      </c>
      <c r="B463">
        <f t="shared" si="29"/>
        <v>2042</v>
      </c>
      <c r="C463" s="2">
        <f t="shared" si="30"/>
        <v>229843.19914502729</v>
      </c>
      <c r="D463" s="122"/>
      <c r="E463" s="122"/>
      <c r="F463" s="123"/>
      <c r="O463" s="71"/>
      <c r="P463" s="68"/>
      <c r="Q463" s="68"/>
      <c r="R463" s="68"/>
      <c r="S463" s="68"/>
      <c r="T463" s="68"/>
      <c r="U463" s="68"/>
      <c r="V463" s="68"/>
      <c r="W463" s="68"/>
      <c r="X463" s="68"/>
      <c r="Y463" s="68"/>
    </row>
    <row r="464" spans="1:25" x14ac:dyDescent="0.25">
      <c r="A464">
        <f t="shared" si="28"/>
        <v>26</v>
      </c>
      <c r="B464">
        <f t="shared" si="29"/>
        <v>2043</v>
      </c>
      <c r="C464" s="2">
        <f t="shared" si="30"/>
        <v>235750.91830649565</v>
      </c>
      <c r="D464" s="122"/>
      <c r="E464" s="122"/>
      <c r="F464" s="123"/>
      <c r="O464" s="71"/>
      <c r="P464" s="68"/>
      <c r="Q464" s="68"/>
      <c r="R464" s="68"/>
      <c r="S464" s="68"/>
      <c r="T464" s="68"/>
      <c r="U464" s="68"/>
      <c r="V464" s="68"/>
      <c r="W464" s="68"/>
      <c r="X464" s="68"/>
      <c r="Y464" s="68"/>
    </row>
    <row r="465" spans="1:25" x14ac:dyDescent="0.25">
      <c r="A465">
        <f t="shared" si="28"/>
        <v>27</v>
      </c>
      <c r="B465">
        <f t="shared" si="29"/>
        <v>2044</v>
      </c>
      <c r="C465" s="2">
        <f t="shared" si="30"/>
        <v>241810.48510070058</v>
      </c>
      <c r="D465" s="122"/>
      <c r="E465" s="122"/>
      <c r="F465" s="123"/>
      <c r="O465" s="71"/>
      <c r="P465" s="68"/>
      <c r="Q465" s="68"/>
      <c r="R465" s="68"/>
      <c r="S465" s="68"/>
      <c r="T465" s="68"/>
      <c r="U465" s="68"/>
      <c r="V465" s="68"/>
      <c r="W465" s="68"/>
      <c r="X465" s="68"/>
      <c r="Y465" s="68"/>
    </row>
    <row r="466" spans="1:25" x14ac:dyDescent="0.25">
      <c r="A466">
        <f t="shared" si="28"/>
        <v>28</v>
      </c>
      <c r="B466">
        <f t="shared" si="29"/>
        <v>2045</v>
      </c>
      <c r="C466" s="2">
        <f t="shared" si="30"/>
        <v>248025.80250659856</v>
      </c>
      <c r="D466" s="122"/>
      <c r="E466" s="122"/>
      <c r="F466" s="123"/>
      <c r="O466" s="71"/>
      <c r="P466" s="68"/>
      <c r="Q466" s="68"/>
      <c r="R466" s="68"/>
      <c r="S466" s="68"/>
      <c r="T466" s="68"/>
      <c r="U466" s="68"/>
      <c r="V466" s="68"/>
      <c r="W466" s="68"/>
      <c r="X466" s="68"/>
      <c r="Y466" s="68"/>
    </row>
    <row r="467" spans="1:25" x14ac:dyDescent="0.25">
      <c r="A467">
        <f t="shared" si="28"/>
        <v>29</v>
      </c>
      <c r="B467">
        <f t="shared" si="29"/>
        <v>2046</v>
      </c>
      <c r="C467" s="2">
        <f t="shared" si="30"/>
        <v>254400.87382242302</v>
      </c>
      <c r="D467" s="122"/>
      <c r="E467" s="122"/>
      <c r="F467" s="123"/>
      <c r="O467" s="71"/>
      <c r="P467" s="68"/>
      <c r="Q467" s="68"/>
      <c r="R467" s="68"/>
      <c r="S467" s="68"/>
      <c r="T467" s="68"/>
      <c r="U467" s="68"/>
      <c r="V467" s="68"/>
      <c r="W467" s="68"/>
      <c r="X467" s="68"/>
      <c r="Y467" s="68"/>
    </row>
    <row r="468" spans="1:25" x14ac:dyDescent="0.25">
      <c r="A468">
        <f t="shared" si="28"/>
        <v>30</v>
      </c>
      <c r="B468">
        <f t="shared" si="29"/>
        <v>2047</v>
      </c>
      <c r="C468" s="2">
        <f t="shared" si="30"/>
        <v>260939.80524421678</v>
      </c>
      <c r="D468" s="122"/>
      <c r="E468" s="122"/>
      <c r="F468" s="123"/>
      <c r="O468" s="71"/>
      <c r="P468" s="68"/>
      <c r="Q468" s="68"/>
      <c r="R468" s="68"/>
      <c r="S468" s="68"/>
      <c r="T468" s="68"/>
      <c r="U468" s="68"/>
      <c r="V468" s="68"/>
      <c r="W468" s="68"/>
      <c r="X468" s="68"/>
      <c r="Y468" s="68"/>
    </row>
    <row r="469" spans="1:25" x14ac:dyDescent="0.25">
      <c r="A469">
        <f t="shared" si="28"/>
        <v>31</v>
      </c>
      <c r="B469">
        <f t="shared" si="29"/>
        <v>2048</v>
      </c>
      <c r="C469" s="2">
        <f t="shared" si="30"/>
        <v>267646.80851064093</v>
      </c>
      <c r="D469" s="122"/>
      <c r="E469" s="122"/>
      <c r="F469" s="123"/>
      <c r="O469" s="71"/>
      <c r="P469" s="68"/>
      <c r="Q469" s="68"/>
      <c r="R469" s="68"/>
      <c r="S469" s="68"/>
      <c r="T469" s="68"/>
      <c r="U469" s="68"/>
      <c r="V469" s="68"/>
      <c r="W469" s="68"/>
      <c r="X469" s="68"/>
      <c r="Y469" s="68"/>
    </row>
    <row r="470" spans="1:25" x14ac:dyDescent="0.25">
      <c r="A470">
        <f t="shared" si="28"/>
        <v>32</v>
      </c>
      <c r="B470">
        <f t="shared" si="29"/>
        <v>2049</v>
      </c>
      <c r="C470" s="2">
        <f t="shared" si="30"/>
        <v>274526.20361576416</v>
      </c>
      <c r="D470" s="122"/>
      <c r="E470" s="122"/>
      <c r="F470" s="123"/>
      <c r="O470" s="71"/>
      <c r="P470" s="68"/>
      <c r="Q470" s="68"/>
      <c r="R470" s="68"/>
      <c r="S470" s="68"/>
      <c r="T470" s="68"/>
      <c r="U470" s="68"/>
      <c r="V470" s="68"/>
      <c r="W470" s="68"/>
      <c r="X470" s="68"/>
      <c r="Y470" s="68"/>
    </row>
    <row r="471" spans="1:25" x14ac:dyDescent="0.25">
      <c r="A471">
        <f t="shared" si="28"/>
        <v>33</v>
      </c>
      <c r="B471">
        <f t="shared" si="29"/>
        <v>2050</v>
      </c>
      <c r="C471" s="2">
        <f t="shared" si="30"/>
        <v>281582.42159157933</v>
      </c>
      <c r="D471" s="122"/>
      <c r="E471" s="122"/>
      <c r="F471" s="123"/>
      <c r="O471" s="71"/>
      <c r="P471" s="68"/>
      <c r="Q471" s="68"/>
      <c r="R471" s="68"/>
      <c r="S471" s="68"/>
      <c r="T471" s="68"/>
      <c r="U471" s="68"/>
      <c r="V471" s="68"/>
      <c r="W471" s="68"/>
      <c r="X471" s="68"/>
      <c r="Y471" s="68"/>
    </row>
    <row r="472" spans="1:25" x14ac:dyDescent="0.25">
      <c r="A472">
        <f t="shared" si="28"/>
        <v>34</v>
      </c>
      <c r="B472">
        <f t="shared" si="29"/>
        <v>2051</v>
      </c>
      <c r="C472" s="2">
        <f t="shared" si="30"/>
        <v>288820.00736204011</v>
      </c>
      <c r="D472" s="122"/>
      <c r="E472" s="122"/>
      <c r="F472" s="123"/>
      <c r="O472" s="71"/>
      <c r="P472" s="68"/>
      <c r="Q472" s="68"/>
      <c r="R472" s="68"/>
      <c r="S472" s="68"/>
      <c r="T472" s="68"/>
      <c r="U472" s="68"/>
      <c r="V472" s="68"/>
      <c r="W472" s="68"/>
      <c r="X472" s="68"/>
      <c r="Y472" s="68"/>
    </row>
    <row r="473" spans="1:25" x14ac:dyDescent="0.25">
      <c r="A473">
        <f t="shared" si="28"/>
        <v>35</v>
      </c>
      <c r="B473">
        <f t="shared" si="29"/>
        <v>2052</v>
      </c>
      <c r="C473" s="2">
        <f t="shared" si="30"/>
        <v>296243.62267045531</v>
      </c>
      <c r="D473" s="122"/>
      <c r="E473" s="122"/>
      <c r="F473" s="123"/>
      <c r="O473" s="71"/>
      <c r="P473" s="68"/>
      <c r="Q473" s="68"/>
      <c r="R473" s="68"/>
      <c r="S473" s="68"/>
      <c r="T473" s="68"/>
      <c r="U473" s="68"/>
      <c r="V473" s="68"/>
      <c r="W473" s="68"/>
      <c r="X473" s="68"/>
      <c r="Y473" s="68"/>
    </row>
    <row r="474" spans="1:25" x14ac:dyDescent="0.25">
      <c r="A474">
        <f t="shared" si="28"/>
        <v>36</v>
      </c>
      <c r="B474">
        <f t="shared" si="29"/>
        <v>2053</v>
      </c>
      <c r="C474" s="2">
        <f t="shared" si="30"/>
        <v>303858.04908212717</v>
      </c>
      <c r="D474" s="122"/>
      <c r="E474" s="122"/>
      <c r="F474" s="123"/>
      <c r="O474" s="71"/>
      <c r="P474" s="68"/>
      <c r="Q474" s="68"/>
      <c r="R474" s="68"/>
      <c r="S474" s="68"/>
      <c r="T474" s="68"/>
      <c r="U474" s="68"/>
      <c r="V474" s="68"/>
      <c r="W474" s="68"/>
      <c r="X474" s="68"/>
      <c r="Y474" s="68"/>
    </row>
    <row r="475" spans="1:25" x14ac:dyDescent="0.25">
      <c r="A475">
        <f t="shared" si="28"/>
        <v>37</v>
      </c>
      <c r="B475">
        <f t="shared" si="29"/>
        <v>2054</v>
      </c>
      <c r="C475" s="2">
        <f t="shared" si="30"/>
        <v>311668.19106416678</v>
      </c>
      <c r="D475" s="122"/>
      <c r="E475" s="122"/>
      <c r="F475" s="123"/>
      <c r="O475" s="71"/>
      <c r="P475" s="68"/>
      <c r="Q475" s="68"/>
      <c r="R475" s="68"/>
      <c r="S475" s="68"/>
      <c r="T475" s="68"/>
      <c r="U475" s="68"/>
      <c r="V475" s="68"/>
      <c r="W475" s="68"/>
      <c r="X475" s="68"/>
      <c r="Y475" s="68"/>
    </row>
    <row r="476" spans="1:25" x14ac:dyDescent="0.25">
      <c r="A476">
        <f t="shared" si="28"/>
        <v>38</v>
      </c>
      <c r="B476">
        <f t="shared" si="29"/>
        <v>2055</v>
      </c>
      <c r="C476" s="2">
        <f t="shared" si="30"/>
        <v>319679.07914447127</v>
      </c>
      <c r="D476" s="122"/>
      <c r="E476" s="122"/>
      <c r="F476" s="123"/>
      <c r="O476" s="71"/>
      <c r="P476" s="68"/>
      <c r="Q476" s="68"/>
      <c r="R476" s="68"/>
      <c r="S476" s="68"/>
      <c r="T476" s="68"/>
      <c r="U476" s="68"/>
      <c r="V476" s="68"/>
      <c r="W476" s="68"/>
      <c r="X476" s="68"/>
      <c r="Y476" s="68"/>
    </row>
    <row r="477" spans="1:25" x14ac:dyDescent="0.25">
      <c r="A477">
        <f t="shared" si="28"/>
        <v>39</v>
      </c>
      <c r="B477">
        <f t="shared" si="29"/>
        <v>2056</v>
      </c>
      <c r="C477" s="2">
        <f t="shared" si="30"/>
        <v>327895.8731518967</v>
      </c>
      <c r="D477" s="122"/>
      <c r="E477" s="122"/>
      <c r="F477" s="123"/>
      <c r="O477" s="71"/>
      <c r="P477" s="68"/>
      <c r="Q477" s="68"/>
      <c r="R477" s="68"/>
      <c r="S477" s="68"/>
      <c r="T477" s="68"/>
      <c r="U477" s="68"/>
      <c r="V477" s="68"/>
      <c r="W477" s="68"/>
      <c r="X477" s="68"/>
      <c r="Y477" s="68"/>
    </row>
    <row r="478" spans="1:25" x14ac:dyDescent="0.25">
      <c r="A478">
        <f t="shared" si="28"/>
        <v>40</v>
      </c>
      <c r="B478">
        <f t="shared" si="29"/>
        <v>2057</v>
      </c>
      <c r="C478" s="2">
        <f t="shared" si="30"/>
        <v>336323.86553971394</v>
      </c>
      <c r="D478" s="122"/>
      <c r="E478" s="122"/>
      <c r="F478" s="123"/>
      <c r="O478" s="71"/>
      <c r="P478" s="68"/>
      <c r="Q478" s="68"/>
      <c r="R478" s="68"/>
      <c r="S478" s="68"/>
      <c r="T478" s="68"/>
      <c r="U478" s="68"/>
      <c r="V478" s="68"/>
      <c r="W478" s="68"/>
      <c r="X478" s="68"/>
      <c r="Y478" s="68"/>
    </row>
    <row r="479" spans="1:25" x14ac:dyDescent="0.25">
      <c r="D479" s="122"/>
      <c r="E479" s="122"/>
      <c r="F479" s="123"/>
      <c r="O479" s="71"/>
      <c r="P479" s="68"/>
      <c r="Q479" s="68"/>
      <c r="R479" s="68"/>
      <c r="S479" s="68"/>
      <c r="T479" s="68"/>
      <c r="U479" s="68"/>
      <c r="V479" s="68"/>
      <c r="W479" s="68"/>
      <c r="X479" s="68"/>
      <c r="Y479" s="68"/>
    </row>
    <row r="480" spans="1:25" x14ac:dyDescent="0.25">
      <c r="B480" s="68"/>
      <c r="C480" s="68"/>
      <c r="D480" s="108"/>
      <c r="E480" s="108"/>
      <c r="F480" s="71"/>
      <c r="H480" s="17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</row>
    <row r="481" spans="1:16384" x14ac:dyDescent="0.25">
      <c r="A481" s="12" t="s">
        <v>47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  <c r="IV481" s="13"/>
      <c r="IW481" s="13"/>
      <c r="IX481" s="13"/>
      <c r="IY481" s="13"/>
      <c r="IZ481" s="13"/>
      <c r="JA481" s="13"/>
      <c r="JB481" s="13"/>
      <c r="JC481" s="13"/>
      <c r="JD481" s="13"/>
      <c r="JE481" s="13"/>
      <c r="JF481" s="13"/>
      <c r="JG481" s="13"/>
      <c r="JH481" s="13"/>
      <c r="JI481" s="13"/>
      <c r="JJ481" s="13"/>
      <c r="JK481" s="13"/>
      <c r="JL481" s="13"/>
      <c r="JM481" s="13"/>
      <c r="JN481" s="13"/>
      <c r="JO481" s="13"/>
      <c r="JP481" s="13"/>
      <c r="JQ481" s="13"/>
      <c r="JR481" s="13"/>
      <c r="JS481" s="13"/>
      <c r="JT481" s="13"/>
      <c r="JU481" s="13"/>
      <c r="JV481" s="13"/>
      <c r="JW481" s="13"/>
      <c r="JX481" s="13"/>
      <c r="JY481" s="13"/>
      <c r="JZ481" s="13"/>
      <c r="KA481" s="13"/>
      <c r="KB481" s="13"/>
      <c r="KC481" s="13"/>
      <c r="KD481" s="13"/>
      <c r="KE481" s="13"/>
      <c r="KF481" s="13"/>
      <c r="KG481" s="13"/>
      <c r="KH481" s="13"/>
      <c r="KI481" s="13"/>
      <c r="KJ481" s="13"/>
      <c r="KK481" s="13"/>
      <c r="KL481" s="13"/>
      <c r="KM481" s="13"/>
      <c r="KN481" s="13"/>
      <c r="KO481" s="13"/>
      <c r="KP481" s="13"/>
      <c r="KQ481" s="13"/>
      <c r="KR481" s="13"/>
      <c r="KS481" s="13"/>
      <c r="KT481" s="13"/>
      <c r="KU481" s="13"/>
      <c r="KV481" s="13"/>
      <c r="KW481" s="13"/>
      <c r="KX481" s="13"/>
      <c r="KY481" s="13"/>
      <c r="KZ481" s="13"/>
      <c r="LA481" s="13"/>
      <c r="LB481" s="13"/>
      <c r="LC481" s="13"/>
      <c r="LD481" s="13"/>
      <c r="LE481" s="13"/>
      <c r="LF481" s="13"/>
      <c r="LG481" s="13"/>
      <c r="LH481" s="13"/>
      <c r="LI481" s="13"/>
      <c r="LJ481" s="13"/>
      <c r="LK481" s="13"/>
      <c r="LL481" s="13"/>
      <c r="LM481" s="13"/>
      <c r="LN481" s="13"/>
      <c r="LO481" s="13"/>
      <c r="LP481" s="13"/>
      <c r="LQ481" s="13"/>
      <c r="LR481" s="13"/>
      <c r="LS481" s="13"/>
      <c r="LT481" s="13"/>
      <c r="LU481" s="13"/>
      <c r="LV481" s="13"/>
      <c r="LW481" s="13"/>
      <c r="LX481" s="13"/>
      <c r="LY481" s="13"/>
      <c r="LZ481" s="13"/>
      <c r="MA481" s="13"/>
      <c r="MB481" s="13"/>
      <c r="MC481" s="13"/>
      <c r="MD481" s="13"/>
      <c r="ME481" s="13"/>
      <c r="MF481" s="13"/>
      <c r="MG481" s="13"/>
      <c r="MH481" s="13"/>
      <c r="MI481" s="13"/>
      <c r="MJ481" s="13"/>
      <c r="MK481" s="13"/>
      <c r="ML481" s="13"/>
      <c r="MM481" s="13"/>
      <c r="MN481" s="13"/>
      <c r="MO481" s="13"/>
      <c r="MP481" s="13"/>
      <c r="MQ481" s="13"/>
      <c r="MR481" s="13"/>
      <c r="MS481" s="13"/>
      <c r="MT481" s="13"/>
      <c r="MU481" s="13"/>
      <c r="MV481" s="13"/>
      <c r="MW481" s="13"/>
      <c r="MX481" s="13"/>
      <c r="MY481" s="13"/>
      <c r="MZ481" s="13"/>
      <c r="NA481" s="13"/>
      <c r="NB481" s="13"/>
      <c r="NC481" s="13"/>
      <c r="ND481" s="13"/>
      <c r="NE481" s="13"/>
      <c r="NF481" s="13"/>
      <c r="NG481" s="13"/>
      <c r="NH481" s="13"/>
      <c r="NI481" s="13"/>
      <c r="NJ481" s="13"/>
      <c r="NK481" s="13"/>
      <c r="NL481" s="13"/>
      <c r="NM481" s="13"/>
      <c r="NN481" s="13"/>
      <c r="NO481" s="13"/>
      <c r="NP481" s="13"/>
      <c r="NQ481" s="13"/>
      <c r="NR481" s="13"/>
      <c r="NS481" s="13"/>
      <c r="NT481" s="13"/>
      <c r="NU481" s="13"/>
      <c r="NV481" s="13"/>
      <c r="NW481" s="13"/>
      <c r="NX481" s="13"/>
      <c r="NY481" s="13"/>
      <c r="NZ481" s="13"/>
      <c r="OA481" s="13"/>
      <c r="OB481" s="13"/>
      <c r="OC481" s="13"/>
      <c r="OD481" s="13"/>
      <c r="OE481" s="13"/>
      <c r="OF481" s="13"/>
      <c r="OG481" s="13"/>
      <c r="OH481" s="13"/>
      <c r="OI481" s="13"/>
      <c r="OJ481" s="13"/>
      <c r="OK481" s="13"/>
      <c r="OL481" s="13"/>
      <c r="OM481" s="13"/>
      <c r="ON481" s="13"/>
      <c r="OO481" s="13"/>
      <c r="OP481" s="13"/>
      <c r="OQ481" s="13"/>
      <c r="OR481" s="13"/>
      <c r="OS481" s="13"/>
      <c r="OT481" s="13"/>
      <c r="OU481" s="13"/>
      <c r="OV481" s="13"/>
      <c r="OW481" s="13"/>
      <c r="OX481" s="13"/>
      <c r="OY481" s="13"/>
      <c r="OZ481" s="13"/>
      <c r="PA481" s="13"/>
      <c r="PB481" s="13"/>
      <c r="PC481" s="13"/>
      <c r="PD481" s="13"/>
      <c r="PE481" s="13"/>
      <c r="PF481" s="13"/>
      <c r="PG481" s="13"/>
      <c r="PH481" s="13"/>
      <c r="PI481" s="13"/>
      <c r="PJ481" s="13"/>
      <c r="PK481" s="13"/>
      <c r="PL481" s="13"/>
      <c r="PM481" s="13"/>
      <c r="PN481" s="13"/>
      <c r="PO481" s="13"/>
      <c r="PP481" s="13"/>
      <c r="PQ481" s="13"/>
      <c r="PR481" s="13"/>
      <c r="PS481" s="13"/>
      <c r="PT481" s="13"/>
      <c r="PU481" s="13"/>
      <c r="PV481" s="13"/>
      <c r="PW481" s="13"/>
      <c r="PX481" s="13"/>
      <c r="PY481" s="13"/>
      <c r="PZ481" s="13"/>
      <c r="QA481" s="13"/>
      <c r="QB481" s="13"/>
      <c r="QC481" s="13"/>
      <c r="QD481" s="13"/>
      <c r="QE481" s="13"/>
      <c r="QF481" s="13"/>
      <c r="QG481" s="13"/>
      <c r="QH481" s="13"/>
      <c r="QI481" s="13"/>
      <c r="QJ481" s="13"/>
      <c r="QK481" s="13"/>
      <c r="QL481" s="13"/>
      <c r="QM481" s="13"/>
      <c r="QN481" s="13"/>
      <c r="QO481" s="13"/>
      <c r="QP481" s="13"/>
      <c r="QQ481" s="13"/>
      <c r="QR481" s="13"/>
      <c r="QS481" s="13"/>
      <c r="QT481" s="13"/>
      <c r="QU481" s="13"/>
      <c r="QV481" s="13"/>
      <c r="QW481" s="13"/>
      <c r="QX481" s="13"/>
      <c r="QY481" s="13"/>
      <c r="QZ481" s="13"/>
      <c r="RA481" s="13"/>
      <c r="RB481" s="13"/>
      <c r="RC481" s="13"/>
      <c r="RD481" s="13"/>
      <c r="RE481" s="13"/>
      <c r="RF481" s="13"/>
      <c r="RG481" s="13"/>
      <c r="RH481" s="13"/>
      <c r="RI481" s="13"/>
      <c r="RJ481" s="13"/>
      <c r="RK481" s="13"/>
      <c r="RL481" s="13"/>
      <c r="RM481" s="13"/>
      <c r="RN481" s="13"/>
      <c r="RO481" s="13"/>
      <c r="RP481" s="13"/>
      <c r="RQ481" s="13"/>
      <c r="RR481" s="13"/>
      <c r="RS481" s="13"/>
      <c r="RT481" s="13"/>
      <c r="RU481" s="13"/>
      <c r="RV481" s="13"/>
      <c r="RW481" s="13"/>
      <c r="RX481" s="13"/>
      <c r="RY481" s="13"/>
      <c r="RZ481" s="13"/>
      <c r="SA481" s="13"/>
      <c r="SB481" s="13"/>
      <c r="SC481" s="13"/>
      <c r="SD481" s="13"/>
      <c r="SE481" s="13"/>
      <c r="SF481" s="13"/>
      <c r="SG481" s="13"/>
      <c r="SH481" s="13"/>
      <c r="SI481" s="13"/>
      <c r="SJ481" s="13"/>
      <c r="SK481" s="13"/>
      <c r="SL481" s="13"/>
      <c r="SM481" s="13"/>
      <c r="SN481" s="13"/>
      <c r="SO481" s="13"/>
      <c r="SP481" s="13"/>
      <c r="SQ481" s="13"/>
      <c r="SR481" s="13"/>
      <c r="SS481" s="13"/>
      <c r="ST481" s="13"/>
      <c r="SU481" s="13"/>
      <c r="SV481" s="13"/>
      <c r="SW481" s="13"/>
      <c r="SX481" s="13"/>
      <c r="SY481" s="13"/>
      <c r="SZ481" s="13"/>
      <c r="TA481" s="13"/>
      <c r="TB481" s="13"/>
      <c r="TC481" s="13"/>
      <c r="TD481" s="13"/>
      <c r="TE481" s="13"/>
      <c r="TF481" s="13"/>
      <c r="TG481" s="13"/>
      <c r="TH481" s="13"/>
      <c r="TI481" s="13"/>
      <c r="TJ481" s="13"/>
      <c r="TK481" s="13"/>
      <c r="TL481" s="13"/>
      <c r="TM481" s="13"/>
      <c r="TN481" s="13"/>
      <c r="TO481" s="13"/>
      <c r="TP481" s="13"/>
      <c r="TQ481" s="13"/>
      <c r="TR481" s="13"/>
      <c r="TS481" s="13"/>
      <c r="TT481" s="13"/>
      <c r="TU481" s="13"/>
      <c r="TV481" s="13"/>
      <c r="TW481" s="13"/>
      <c r="TX481" s="13"/>
      <c r="TY481" s="13"/>
      <c r="TZ481" s="13"/>
      <c r="UA481" s="13"/>
      <c r="UB481" s="13"/>
      <c r="UC481" s="13"/>
      <c r="UD481" s="13"/>
      <c r="UE481" s="13"/>
      <c r="UF481" s="13"/>
      <c r="UG481" s="13"/>
      <c r="UH481" s="13"/>
      <c r="UI481" s="13"/>
      <c r="UJ481" s="13"/>
      <c r="UK481" s="13"/>
      <c r="UL481" s="13"/>
      <c r="UM481" s="13"/>
      <c r="UN481" s="13"/>
      <c r="UO481" s="13"/>
      <c r="UP481" s="13"/>
      <c r="UQ481" s="13"/>
      <c r="UR481" s="13"/>
      <c r="US481" s="13"/>
      <c r="UT481" s="13"/>
      <c r="UU481" s="13"/>
      <c r="UV481" s="13"/>
      <c r="UW481" s="13"/>
      <c r="UX481" s="13"/>
      <c r="UY481" s="13"/>
      <c r="UZ481" s="13"/>
      <c r="VA481" s="13"/>
      <c r="VB481" s="13"/>
      <c r="VC481" s="13"/>
      <c r="VD481" s="13"/>
      <c r="VE481" s="13"/>
      <c r="VF481" s="13"/>
      <c r="VG481" s="13"/>
      <c r="VH481" s="13"/>
      <c r="VI481" s="13"/>
      <c r="VJ481" s="13"/>
      <c r="VK481" s="13"/>
      <c r="VL481" s="13"/>
      <c r="VM481" s="13"/>
      <c r="VN481" s="13"/>
      <c r="VO481" s="13"/>
      <c r="VP481" s="13"/>
      <c r="VQ481" s="13"/>
      <c r="VR481" s="13"/>
      <c r="VS481" s="13"/>
      <c r="VT481" s="13"/>
      <c r="VU481" s="13"/>
      <c r="VV481" s="13"/>
      <c r="VW481" s="13"/>
      <c r="VX481" s="13"/>
      <c r="VY481" s="13"/>
      <c r="VZ481" s="13"/>
      <c r="WA481" s="13"/>
      <c r="WB481" s="13"/>
      <c r="WC481" s="13"/>
      <c r="WD481" s="13"/>
      <c r="WE481" s="13"/>
      <c r="WF481" s="13"/>
      <c r="WG481" s="13"/>
      <c r="WH481" s="13"/>
      <c r="WI481" s="13"/>
      <c r="WJ481" s="13"/>
      <c r="WK481" s="13"/>
      <c r="WL481" s="13"/>
      <c r="WM481" s="13"/>
      <c r="WN481" s="13"/>
      <c r="WO481" s="13"/>
      <c r="WP481" s="13"/>
      <c r="WQ481" s="13"/>
      <c r="WR481" s="13"/>
      <c r="WS481" s="13"/>
      <c r="WT481" s="13"/>
      <c r="WU481" s="13"/>
      <c r="WV481" s="13"/>
      <c r="WW481" s="13"/>
      <c r="WX481" s="13"/>
      <c r="WY481" s="13"/>
      <c r="WZ481" s="13"/>
      <c r="XA481" s="13"/>
      <c r="XB481" s="13"/>
      <c r="XC481" s="13"/>
      <c r="XD481" s="13"/>
      <c r="XE481" s="13"/>
      <c r="XF481" s="13"/>
      <c r="XG481" s="13"/>
      <c r="XH481" s="13"/>
      <c r="XI481" s="13"/>
      <c r="XJ481" s="13"/>
      <c r="XK481" s="13"/>
      <c r="XL481" s="13"/>
      <c r="XM481" s="13"/>
      <c r="XN481" s="13"/>
      <c r="XO481" s="13"/>
      <c r="XP481" s="13"/>
      <c r="XQ481" s="13"/>
      <c r="XR481" s="13"/>
      <c r="XS481" s="13"/>
      <c r="XT481" s="13"/>
      <c r="XU481" s="13"/>
      <c r="XV481" s="13"/>
      <c r="XW481" s="13"/>
      <c r="XX481" s="13"/>
      <c r="XY481" s="13"/>
      <c r="XZ481" s="13"/>
      <c r="YA481" s="13"/>
      <c r="YB481" s="13"/>
      <c r="YC481" s="13"/>
      <c r="YD481" s="13"/>
      <c r="YE481" s="13"/>
      <c r="YF481" s="13"/>
      <c r="YG481" s="13"/>
      <c r="YH481" s="13"/>
      <c r="YI481" s="13"/>
      <c r="YJ481" s="13"/>
      <c r="YK481" s="13"/>
      <c r="YL481" s="13"/>
      <c r="YM481" s="13"/>
      <c r="YN481" s="13"/>
      <c r="YO481" s="13"/>
      <c r="YP481" s="13"/>
      <c r="YQ481" s="13"/>
      <c r="YR481" s="13"/>
      <c r="YS481" s="13"/>
      <c r="YT481" s="13"/>
      <c r="YU481" s="13"/>
      <c r="YV481" s="13"/>
      <c r="YW481" s="13"/>
      <c r="YX481" s="13"/>
      <c r="YY481" s="13"/>
      <c r="YZ481" s="13"/>
      <c r="ZA481" s="13"/>
      <c r="ZB481" s="13"/>
      <c r="ZC481" s="13"/>
      <c r="ZD481" s="13"/>
      <c r="ZE481" s="13"/>
      <c r="ZF481" s="13"/>
      <c r="ZG481" s="13"/>
      <c r="ZH481" s="13"/>
      <c r="ZI481" s="13"/>
      <c r="ZJ481" s="13"/>
      <c r="ZK481" s="13"/>
      <c r="ZL481" s="13"/>
      <c r="ZM481" s="13"/>
      <c r="ZN481" s="13"/>
      <c r="ZO481" s="13"/>
      <c r="ZP481" s="13"/>
      <c r="ZQ481" s="13"/>
      <c r="ZR481" s="13"/>
      <c r="ZS481" s="13"/>
      <c r="ZT481" s="13"/>
      <c r="ZU481" s="13"/>
      <c r="ZV481" s="13"/>
      <c r="ZW481" s="13"/>
      <c r="ZX481" s="13"/>
      <c r="ZY481" s="13"/>
      <c r="ZZ481" s="13"/>
      <c r="AAA481" s="13"/>
      <c r="AAB481" s="13"/>
      <c r="AAC481" s="13"/>
      <c r="AAD481" s="13"/>
      <c r="AAE481" s="13"/>
      <c r="AAF481" s="13"/>
      <c r="AAG481" s="13"/>
      <c r="AAH481" s="13"/>
      <c r="AAI481" s="13"/>
      <c r="AAJ481" s="13"/>
      <c r="AAK481" s="13"/>
      <c r="AAL481" s="13"/>
      <c r="AAM481" s="13"/>
      <c r="AAN481" s="13"/>
      <c r="AAO481" s="13"/>
      <c r="AAP481" s="13"/>
      <c r="AAQ481" s="13"/>
      <c r="AAR481" s="13"/>
      <c r="AAS481" s="13"/>
      <c r="AAT481" s="13"/>
      <c r="AAU481" s="13"/>
      <c r="AAV481" s="13"/>
      <c r="AAW481" s="13"/>
      <c r="AAX481" s="13"/>
      <c r="AAY481" s="13"/>
      <c r="AAZ481" s="13"/>
      <c r="ABA481" s="13"/>
      <c r="ABB481" s="13"/>
      <c r="ABC481" s="13"/>
      <c r="ABD481" s="13"/>
      <c r="ABE481" s="13"/>
      <c r="ABF481" s="13"/>
      <c r="ABG481" s="13"/>
      <c r="ABH481" s="13"/>
      <c r="ABI481" s="13"/>
      <c r="ABJ481" s="13"/>
      <c r="ABK481" s="13"/>
      <c r="ABL481" s="13"/>
      <c r="ABM481" s="13"/>
      <c r="ABN481" s="13"/>
      <c r="ABO481" s="13"/>
      <c r="ABP481" s="13"/>
      <c r="ABQ481" s="13"/>
      <c r="ABR481" s="13"/>
      <c r="ABS481" s="13"/>
      <c r="ABT481" s="13"/>
      <c r="ABU481" s="13"/>
      <c r="ABV481" s="13"/>
      <c r="ABW481" s="13"/>
      <c r="ABX481" s="13"/>
      <c r="ABY481" s="13"/>
      <c r="ABZ481" s="13"/>
      <c r="ACA481" s="13"/>
      <c r="ACB481" s="13"/>
      <c r="ACC481" s="13"/>
      <c r="ACD481" s="13"/>
      <c r="ACE481" s="13"/>
      <c r="ACF481" s="13"/>
      <c r="ACG481" s="13"/>
      <c r="ACH481" s="13"/>
      <c r="ACI481" s="13"/>
      <c r="ACJ481" s="13"/>
      <c r="ACK481" s="13"/>
      <c r="ACL481" s="13"/>
      <c r="ACM481" s="13"/>
      <c r="ACN481" s="13"/>
      <c r="ACO481" s="13"/>
      <c r="ACP481" s="13"/>
      <c r="ACQ481" s="13"/>
      <c r="ACR481" s="13"/>
      <c r="ACS481" s="13"/>
      <c r="ACT481" s="13"/>
      <c r="ACU481" s="13"/>
      <c r="ACV481" s="13"/>
      <c r="ACW481" s="13"/>
      <c r="ACX481" s="13"/>
      <c r="ACY481" s="13"/>
      <c r="ACZ481" s="13"/>
      <c r="ADA481" s="13"/>
      <c r="ADB481" s="13"/>
      <c r="ADC481" s="13"/>
      <c r="ADD481" s="13"/>
      <c r="ADE481" s="13"/>
      <c r="ADF481" s="13"/>
      <c r="ADG481" s="13"/>
      <c r="ADH481" s="13"/>
      <c r="ADI481" s="13"/>
      <c r="ADJ481" s="13"/>
      <c r="ADK481" s="13"/>
      <c r="ADL481" s="13"/>
      <c r="ADM481" s="13"/>
      <c r="ADN481" s="13"/>
      <c r="ADO481" s="13"/>
      <c r="ADP481" s="13"/>
      <c r="ADQ481" s="13"/>
      <c r="ADR481" s="13"/>
      <c r="ADS481" s="13"/>
      <c r="ADT481" s="13"/>
      <c r="ADU481" s="13"/>
      <c r="ADV481" s="13"/>
      <c r="ADW481" s="13"/>
      <c r="ADX481" s="13"/>
      <c r="ADY481" s="13"/>
      <c r="ADZ481" s="13"/>
      <c r="AEA481" s="13"/>
      <c r="AEB481" s="13"/>
      <c r="AEC481" s="13"/>
      <c r="AED481" s="13"/>
      <c r="AEE481" s="13"/>
      <c r="AEF481" s="13"/>
      <c r="AEG481" s="13"/>
      <c r="AEH481" s="13"/>
      <c r="AEI481" s="13"/>
      <c r="AEJ481" s="13"/>
      <c r="AEK481" s="13"/>
      <c r="AEL481" s="13"/>
      <c r="AEM481" s="13"/>
      <c r="AEN481" s="13"/>
      <c r="AEO481" s="13"/>
      <c r="AEP481" s="13"/>
      <c r="AEQ481" s="13"/>
      <c r="AER481" s="13"/>
      <c r="AES481" s="13"/>
      <c r="AET481" s="13"/>
      <c r="AEU481" s="13"/>
      <c r="AEV481" s="13"/>
      <c r="AEW481" s="13"/>
      <c r="AEX481" s="13"/>
      <c r="AEY481" s="13"/>
      <c r="AEZ481" s="13"/>
      <c r="AFA481" s="13"/>
      <c r="AFB481" s="13"/>
      <c r="AFC481" s="13"/>
      <c r="AFD481" s="13"/>
      <c r="AFE481" s="13"/>
      <c r="AFF481" s="13"/>
      <c r="AFG481" s="13"/>
      <c r="AFH481" s="13"/>
      <c r="AFI481" s="13"/>
      <c r="AFJ481" s="13"/>
      <c r="AFK481" s="13"/>
      <c r="AFL481" s="13"/>
      <c r="AFM481" s="13"/>
      <c r="AFN481" s="13"/>
      <c r="AFO481" s="13"/>
      <c r="AFP481" s="13"/>
      <c r="AFQ481" s="13"/>
      <c r="AFR481" s="13"/>
      <c r="AFS481" s="13"/>
      <c r="AFT481" s="13"/>
      <c r="AFU481" s="13"/>
      <c r="AFV481" s="13"/>
      <c r="AFW481" s="13"/>
      <c r="AFX481" s="13"/>
      <c r="AFY481" s="13"/>
      <c r="AFZ481" s="13"/>
      <c r="AGA481" s="13"/>
      <c r="AGB481" s="13"/>
      <c r="AGC481" s="13"/>
      <c r="AGD481" s="13"/>
      <c r="AGE481" s="13"/>
      <c r="AGF481" s="13"/>
      <c r="AGG481" s="13"/>
      <c r="AGH481" s="13"/>
      <c r="AGI481" s="13"/>
      <c r="AGJ481" s="13"/>
      <c r="AGK481" s="13"/>
      <c r="AGL481" s="13"/>
      <c r="AGM481" s="13"/>
      <c r="AGN481" s="13"/>
      <c r="AGO481" s="13"/>
      <c r="AGP481" s="13"/>
      <c r="AGQ481" s="13"/>
      <c r="AGR481" s="13"/>
      <c r="AGS481" s="13"/>
      <c r="AGT481" s="13"/>
      <c r="AGU481" s="13"/>
      <c r="AGV481" s="13"/>
      <c r="AGW481" s="13"/>
      <c r="AGX481" s="13"/>
      <c r="AGY481" s="13"/>
      <c r="AGZ481" s="13"/>
      <c r="AHA481" s="13"/>
      <c r="AHB481" s="13"/>
      <c r="AHC481" s="13"/>
      <c r="AHD481" s="13"/>
      <c r="AHE481" s="13"/>
      <c r="AHF481" s="13"/>
      <c r="AHG481" s="13"/>
      <c r="AHH481" s="13"/>
      <c r="AHI481" s="13"/>
      <c r="AHJ481" s="13"/>
      <c r="AHK481" s="13"/>
      <c r="AHL481" s="13"/>
      <c r="AHM481" s="13"/>
      <c r="AHN481" s="13"/>
      <c r="AHO481" s="13"/>
      <c r="AHP481" s="13"/>
      <c r="AHQ481" s="13"/>
      <c r="AHR481" s="13"/>
      <c r="AHS481" s="13"/>
      <c r="AHT481" s="13"/>
      <c r="AHU481" s="13"/>
      <c r="AHV481" s="13"/>
      <c r="AHW481" s="13"/>
      <c r="AHX481" s="13"/>
      <c r="AHY481" s="13"/>
      <c r="AHZ481" s="13"/>
      <c r="AIA481" s="13"/>
      <c r="AIB481" s="13"/>
      <c r="AIC481" s="13"/>
      <c r="AID481" s="13"/>
      <c r="AIE481" s="13"/>
      <c r="AIF481" s="13"/>
      <c r="AIG481" s="13"/>
      <c r="AIH481" s="13"/>
      <c r="AII481" s="13"/>
      <c r="AIJ481" s="13"/>
      <c r="AIK481" s="13"/>
      <c r="AIL481" s="13"/>
      <c r="AIM481" s="13"/>
      <c r="AIN481" s="13"/>
      <c r="AIO481" s="13"/>
      <c r="AIP481" s="13"/>
      <c r="AIQ481" s="13"/>
      <c r="AIR481" s="13"/>
      <c r="AIS481" s="13"/>
      <c r="AIT481" s="13"/>
      <c r="AIU481" s="13"/>
      <c r="AIV481" s="13"/>
      <c r="AIW481" s="13"/>
      <c r="AIX481" s="13"/>
      <c r="AIY481" s="13"/>
      <c r="AIZ481" s="13"/>
      <c r="AJA481" s="13"/>
      <c r="AJB481" s="13"/>
      <c r="AJC481" s="13"/>
      <c r="AJD481" s="13"/>
      <c r="AJE481" s="13"/>
      <c r="AJF481" s="13"/>
      <c r="AJG481" s="13"/>
      <c r="AJH481" s="13"/>
      <c r="AJI481" s="13"/>
      <c r="AJJ481" s="13"/>
      <c r="AJK481" s="13"/>
      <c r="AJL481" s="13"/>
      <c r="AJM481" s="13"/>
      <c r="AJN481" s="13"/>
      <c r="AJO481" s="13"/>
      <c r="AJP481" s="13"/>
      <c r="AJQ481" s="13"/>
      <c r="AJR481" s="13"/>
      <c r="AJS481" s="13"/>
      <c r="AJT481" s="13"/>
      <c r="AJU481" s="13"/>
      <c r="AJV481" s="13"/>
      <c r="AJW481" s="13"/>
      <c r="AJX481" s="13"/>
      <c r="AJY481" s="13"/>
      <c r="AJZ481" s="13"/>
      <c r="AKA481" s="13"/>
      <c r="AKB481" s="13"/>
      <c r="AKC481" s="13"/>
      <c r="AKD481" s="13"/>
      <c r="AKE481" s="13"/>
      <c r="AKF481" s="13"/>
      <c r="AKG481" s="13"/>
      <c r="AKH481" s="13"/>
      <c r="AKI481" s="13"/>
      <c r="AKJ481" s="13"/>
      <c r="AKK481" s="13"/>
      <c r="AKL481" s="13"/>
      <c r="AKM481" s="13"/>
      <c r="AKN481" s="13"/>
      <c r="AKO481" s="13"/>
      <c r="AKP481" s="13"/>
      <c r="AKQ481" s="13"/>
      <c r="AKR481" s="13"/>
      <c r="AKS481" s="13"/>
      <c r="AKT481" s="13"/>
      <c r="AKU481" s="13"/>
      <c r="AKV481" s="13"/>
      <c r="AKW481" s="13"/>
      <c r="AKX481" s="13"/>
      <c r="AKY481" s="13"/>
      <c r="AKZ481" s="13"/>
      <c r="ALA481" s="13"/>
      <c r="ALB481" s="13"/>
      <c r="ALC481" s="13"/>
      <c r="ALD481" s="13"/>
      <c r="ALE481" s="13"/>
      <c r="ALF481" s="13"/>
      <c r="ALG481" s="13"/>
      <c r="ALH481" s="13"/>
      <c r="ALI481" s="13"/>
      <c r="ALJ481" s="13"/>
      <c r="ALK481" s="13"/>
      <c r="ALL481" s="13"/>
      <c r="ALM481" s="13"/>
      <c r="ALN481" s="13"/>
      <c r="ALO481" s="13"/>
      <c r="ALP481" s="13"/>
      <c r="ALQ481" s="13"/>
      <c r="ALR481" s="13"/>
      <c r="ALS481" s="13"/>
      <c r="ALT481" s="13"/>
      <c r="ALU481" s="13"/>
      <c r="ALV481" s="13"/>
      <c r="ALW481" s="13"/>
      <c r="ALX481" s="13"/>
      <c r="ALY481" s="13"/>
      <c r="ALZ481" s="13"/>
      <c r="AMA481" s="13"/>
      <c r="AMB481" s="13"/>
      <c r="AMC481" s="13"/>
      <c r="AMD481" s="13"/>
      <c r="AME481" s="13"/>
      <c r="AMF481" s="13"/>
      <c r="AMG481" s="13"/>
      <c r="AMH481" s="13"/>
      <c r="AMI481" s="13"/>
      <c r="AMJ481" s="13"/>
      <c r="AMK481" s="13"/>
      <c r="AML481" s="13"/>
      <c r="AMM481" s="13"/>
      <c r="AMN481" s="13"/>
      <c r="AMO481" s="13"/>
      <c r="AMP481" s="13"/>
      <c r="AMQ481" s="13"/>
      <c r="AMR481" s="13"/>
      <c r="AMS481" s="13"/>
      <c r="AMT481" s="13"/>
      <c r="AMU481" s="13"/>
      <c r="AMV481" s="13"/>
      <c r="AMW481" s="13"/>
      <c r="AMX481" s="13"/>
      <c r="AMY481" s="13"/>
      <c r="AMZ481" s="13"/>
      <c r="ANA481" s="13"/>
      <c r="ANB481" s="13"/>
      <c r="ANC481" s="13"/>
      <c r="AND481" s="13"/>
      <c r="ANE481" s="13"/>
      <c r="ANF481" s="13"/>
      <c r="ANG481" s="13"/>
      <c r="ANH481" s="13"/>
      <c r="ANI481" s="13"/>
      <c r="ANJ481" s="13"/>
      <c r="ANK481" s="13"/>
      <c r="ANL481" s="13"/>
      <c r="ANM481" s="13"/>
      <c r="ANN481" s="13"/>
      <c r="ANO481" s="13"/>
      <c r="ANP481" s="13"/>
      <c r="ANQ481" s="13"/>
      <c r="ANR481" s="13"/>
      <c r="ANS481" s="13"/>
      <c r="ANT481" s="13"/>
      <c r="ANU481" s="13"/>
      <c r="ANV481" s="13"/>
      <c r="ANW481" s="13"/>
      <c r="ANX481" s="13"/>
      <c r="ANY481" s="13"/>
      <c r="ANZ481" s="13"/>
      <c r="AOA481" s="13"/>
      <c r="AOB481" s="13"/>
      <c r="AOC481" s="13"/>
      <c r="AOD481" s="13"/>
      <c r="AOE481" s="13"/>
      <c r="AOF481" s="13"/>
      <c r="AOG481" s="13"/>
      <c r="AOH481" s="13"/>
      <c r="AOI481" s="13"/>
      <c r="AOJ481" s="13"/>
      <c r="AOK481" s="13"/>
      <c r="AOL481" s="13"/>
      <c r="AOM481" s="13"/>
      <c r="AON481" s="13"/>
      <c r="AOO481" s="13"/>
      <c r="AOP481" s="13"/>
      <c r="AOQ481" s="13"/>
      <c r="AOR481" s="13"/>
      <c r="AOS481" s="13"/>
      <c r="AOT481" s="13"/>
      <c r="AOU481" s="13"/>
      <c r="AOV481" s="13"/>
      <c r="AOW481" s="13"/>
      <c r="AOX481" s="13"/>
      <c r="AOY481" s="13"/>
      <c r="AOZ481" s="13"/>
      <c r="APA481" s="13"/>
      <c r="APB481" s="13"/>
      <c r="APC481" s="13"/>
      <c r="APD481" s="13"/>
      <c r="APE481" s="13"/>
      <c r="APF481" s="13"/>
      <c r="APG481" s="13"/>
      <c r="APH481" s="13"/>
      <c r="API481" s="13"/>
      <c r="APJ481" s="13"/>
      <c r="APK481" s="13"/>
      <c r="APL481" s="13"/>
      <c r="APM481" s="13"/>
      <c r="APN481" s="13"/>
      <c r="APO481" s="13"/>
      <c r="APP481" s="13"/>
      <c r="APQ481" s="13"/>
      <c r="APR481" s="13"/>
      <c r="APS481" s="13"/>
      <c r="APT481" s="13"/>
      <c r="APU481" s="13"/>
      <c r="APV481" s="13"/>
      <c r="APW481" s="13"/>
      <c r="APX481" s="13"/>
      <c r="APY481" s="13"/>
      <c r="APZ481" s="13"/>
      <c r="AQA481" s="13"/>
      <c r="AQB481" s="13"/>
      <c r="AQC481" s="13"/>
      <c r="AQD481" s="13"/>
      <c r="AQE481" s="13"/>
      <c r="AQF481" s="13"/>
      <c r="AQG481" s="13"/>
      <c r="AQH481" s="13"/>
      <c r="AQI481" s="13"/>
      <c r="AQJ481" s="13"/>
      <c r="AQK481" s="13"/>
      <c r="AQL481" s="13"/>
      <c r="AQM481" s="13"/>
      <c r="AQN481" s="13"/>
      <c r="AQO481" s="13"/>
      <c r="AQP481" s="13"/>
      <c r="AQQ481" s="13"/>
      <c r="AQR481" s="13"/>
      <c r="AQS481" s="13"/>
      <c r="AQT481" s="13"/>
      <c r="AQU481" s="13"/>
      <c r="AQV481" s="13"/>
      <c r="AQW481" s="13"/>
      <c r="AQX481" s="13"/>
      <c r="AQY481" s="13"/>
      <c r="AQZ481" s="13"/>
      <c r="ARA481" s="13"/>
      <c r="ARB481" s="13"/>
      <c r="ARC481" s="13"/>
      <c r="ARD481" s="13"/>
      <c r="ARE481" s="13"/>
      <c r="ARF481" s="13"/>
      <c r="ARG481" s="13"/>
      <c r="ARH481" s="13"/>
      <c r="ARI481" s="13"/>
      <c r="ARJ481" s="13"/>
      <c r="ARK481" s="13"/>
      <c r="ARL481" s="13"/>
      <c r="ARM481" s="13"/>
      <c r="ARN481" s="13"/>
      <c r="ARO481" s="13"/>
      <c r="ARP481" s="13"/>
      <c r="ARQ481" s="13"/>
      <c r="ARR481" s="13"/>
      <c r="ARS481" s="13"/>
      <c r="ART481" s="13"/>
      <c r="ARU481" s="13"/>
      <c r="ARV481" s="13"/>
      <c r="ARW481" s="13"/>
      <c r="ARX481" s="13"/>
      <c r="ARY481" s="13"/>
      <c r="ARZ481" s="13"/>
      <c r="ASA481" s="13"/>
      <c r="ASB481" s="13"/>
      <c r="ASC481" s="13"/>
      <c r="ASD481" s="13"/>
      <c r="ASE481" s="13"/>
      <c r="ASF481" s="13"/>
      <c r="ASG481" s="13"/>
      <c r="ASH481" s="13"/>
      <c r="ASI481" s="13"/>
      <c r="ASJ481" s="13"/>
      <c r="ASK481" s="13"/>
      <c r="ASL481" s="13"/>
      <c r="ASM481" s="13"/>
      <c r="ASN481" s="13"/>
      <c r="ASO481" s="13"/>
      <c r="ASP481" s="13"/>
      <c r="ASQ481" s="13"/>
      <c r="ASR481" s="13"/>
      <c r="ASS481" s="13"/>
      <c r="AST481" s="13"/>
      <c r="ASU481" s="13"/>
      <c r="ASV481" s="13"/>
      <c r="ASW481" s="13"/>
      <c r="ASX481" s="13"/>
      <c r="ASY481" s="13"/>
      <c r="ASZ481" s="13"/>
      <c r="ATA481" s="13"/>
      <c r="ATB481" s="13"/>
      <c r="ATC481" s="13"/>
      <c r="ATD481" s="13"/>
      <c r="ATE481" s="13"/>
      <c r="ATF481" s="13"/>
      <c r="ATG481" s="13"/>
      <c r="ATH481" s="13"/>
      <c r="ATI481" s="13"/>
      <c r="ATJ481" s="13"/>
      <c r="ATK481" s="13"/>
      <c r="ATL481" s="13"/>
      <c r="ATM481" s="13"/>
      <c r="ATN481" s="13"/>
      <c r="ATO481" s="13"/>
      <c r="ATP481" s="13"/>
      <c r="ATQ481" s="13"/>
      <c r="ATR481" s="13"/>
      <c r="ATS481" s="13"/>
      <c r="ATT481" s="13"/>
      <c r="ATU481" s="13"/>
      <c r="ATV481" s="13"/>
      <c r="ATW481" s="13"/>
      <c r="ATX481" s="13"/>
      <c r="ATY481" s="13"/>
      <c r="ATZ481" s="13"/>
      <c r="AUA481" s="13"/>
      <c r="AUB481" s="13"/>
      <c r="AUC481" s="13"/>
      <c r="AUD481" s="13"/>
      <c r="AUE481" s="13"/>
      <c r="AUF481" s="13"/>
      <c r="AUG481" s="13"/>
      <c r="AUH481" s="13"/>
      <c r="AUI481" s="13"/>
      <c r="AUJ481" s="13"/>
      <c r="AUK481" s="13"/>
      <c r="AUL481" s="13"/>
      <c r="AUM481" s="13"/>
      <c r="AUN481" s="13"/>
      <c r="AUO481" s="13"/>
      <c r="AUP481" s="13"/>
      <c r="AUQ481" s="13"/>
      <c r="AUR481" s="13"/>
      <c r="AUS481" s="13"/>
      <c r="AUT481" s="13"/>
      <c r="AUU481" s="13"/>
      <c r="AUV481" s="13"/>
      <c r="AUW481" s="13"/>
      <c r="AUX481" s="13"/>
      <c r="AUY481" s="13"/>
      <c r="AUZ481" s="13"/>
      <c r="AVA481" s="13"/>
      <c r="AVB481" s="13"/>
      <c r="AVC481" s="13"/>
      <c r="AVD481" s="13"/>
      <c r="AVE481" s="13"/>
      <c r="AVF481" s="13"/>
      <c r="AVG481" s="13"/>
      <c r="AVH481" s="13"/>
      <c r="AVI481" s="13"/>
      <c r="AVJ481" s="13"/>
      <c r="AVK481" s="13"/>
      <c r="AVL481" s="13"/>
      <c r="AVM481" s="13"/>
      <c r="AVN481" s="13"/>
      <c r="AVO481" s="13"/>
      <c r="AVP481" s="13"/>
      <c r="AVQ481" s="13"/>
      <c r="AVR481" s="13"/>
      <c r="AVS481" s="13"/>
      <c r="AVT481" s="13"/>
      <c r="AVU481" s="13"/>
      <c r="AVV481" s="13"/>
      <c r="AVW481" s="13"/>
      <c r="AVX481" s="13"/>
      <c r="AVY481" s="13"/>
      <c r="AVZ481" s="13"/>
      <c r="AWA481" s="13"/>
      <c r="AWB481" s="13"/>
      <c r="AWC481" s="13"/>
      <c r="AWD481" s="13"/>
      <c r="AWE481" s="13"/>
      <c r="AWF481" s="13"/>
      <c r="AWG481" s="13"/>
      <c r="AWH481" s="13"/>
      <c r="AWI481" s="13"/>
      <c r="AWJ481" s="13"/>
      <c r="AWK481" s="13"/>
      <c r="AWL481" s="13"/>
      <c r="AWM481" s="13"/>
      <c r="AWN481" s="13"/>
      <c r="AWO481" s="13"/>
      <c r="AWP481" s="13"/>
      <c r="AWQ481" s="13"/>
      <c r="AWR481" s="13"/>
      <c r="AWS481" s="13"/>
      <c r="AWT481" s="13"/>
      <c r="AWU481" s="13"/>
      <c r="AWV481" s="13"/>
      <c r="AWW481" s="13"/>
      <c r="AWX481" s="13"/>
      <c r="AWY481" s="13"/>
      <c r="AWZ481" s="13"/>
      <c r="AXA481" s="13"/>
      <c r="AXB481" s="13"/>
      <c r="AXC481" s="13"/>
      <c r="AXD481" s="13"/>
      <c r="AXE481" s="13"/>
      <c r="AXF481" s="13"/>
      <c r="AXG481" s="13"/>
      <c r="AXH481" s="13"/>
      <c r="AXI481" s="13"/>
      <c r="AXJ481" s="13"/>
      <c r="AXK481" s="13"/>
      <c r="AXL481" s="13"/>
      <c r="AXM481" s="13"/>
      <c r="AXN481" s="13"/>
      <c r="AXO481" s="13"/>
      <c r="AXP481" s="13"/>
      <c r="AXQ481" s="13"/>
      <c r="AXR481" s="13"/>
      <c r="AXS481" s="13"/>
      <c r="AXT481" s="13"/>
      <c r="AXU481" s="13"/>
      <c r="AXV481" s="13"/>
      <c r="AXW481" s="13"/>
      <c r="AXX481" s="13"/>
      <c r="AXY481" s="13"/>
      <c r="AXZ481" s="13"/>
      <c r="AYA481" s="13"/>
      <c r="AYB481" s="13"/>
      <c r="AYC481" s="13"/>
      <c r="AYD481" s="13"/>
      <c r="AYE481" s="13"/>
      <c r="AYF481" s="13"/>
      <c r="AYG481" s="13"/>
      <c r="AYH481" s="13"/>
      <c r="AYI481" s="13"/>
      <c r="AYJ481" s="13"/>
      <c r="AYK481" s="13"/>
      <c r="AYL481" s="13"/>
      <c r="AYM481" s="13"/>
      <c r="AYN481" s="13"/>
      <c r="AYO481" s="13"/>
      <c r="AYP481" s="13"/>
      <c r="AYQ481" s="13"/>
      <c r="AYR481" s="13"/>
      <c r="AYS481" s="13"/>
      <c r="AYT481" s="13"/>
      <c r="AYU481" s="13"/>
      <c r="AYV481" s="13"/>
      <c r="AYW481" s="13"/>
      <c r="AYX481" s="13"/>
      <c r="AYY481" s="13"/>
      <c r="AYZ481" s="13"/>
      <c r="AZA481" s="13"/>
      <c r="AZB481" s="13"/>
      <c r="AZC481" s="13"/>
      <c r="AZD481" s="13"/>
      <c r="AZE481" s="13"/>
      <c r="AZF481" s="13"/>
      <c r="AZG481" s="13"/>
      <c r="AZH481" s="13"/>
      <c r="AZI481" s="13"/>
      <c r="AZJ481" s="13"/>
      <c r="AZK481" s="13"/>
      <c r="AZL481" s="13"/>
      <c r="AZM481" s="13"/>
      <c r="AZN481" s="13"/>
      <c r="AZO481" s="13"/>
      <c r="AZP481" s="13"/>
      <c r="AZQ481" s="13"/>
      <c r="AZR481" s="13"/>
      <c r="AZS481" s="13"/>
      <c r="AZT481" s="13"/>
      <c r="AZU481" s="13"/>
      <c r="AZV481" s="13"/>
      <c r="AZW481" s="13"/>
      <c r="AZX481" s="13"/>
      <c r="AZY481" s="13"/>
      <c r="AZZ481" s="13"/>
      <c r="BAA481" s="13"/>
      <c r="BAB481" s="13"/>
      <c r="BAC481" s="13"/>
      <c r="BAD481" s="13"/>
      <c r="BAE481" s="13"/>
      <c r="BAF481" s="13"/>
      <c r="BAG481" s="13"/>
      <c r="BAH481" s="13"/>
      <c r="BAI481" s="13"/>
      <c r="BAJ481" s="13"/>
      <c r="BAK481" s="13"/>
      <c r="BAL481" s="13"/>
      <c r="BAM481" s="13"/>
      <c r="BAN481" s="13"/>
      <c r="BAO481" s="13"/>
      <c r="BAP481" s="13"/>
      <c r="BAQ481" s="13"/>
      <c r="BAR481" s="13"/>
      <c r="BAS481" s="13"/>
      <c r="BAT481" s="13"/>
      <c r="BAU481" s="13"/>
      <c r="BAV481" s="13"/>
      <c r="BAW481" s="13"/>
      <c r="BAX481" s="13"/>
      <c r="BAY481" s="13"/>
      <c r="BAZ481" s="13"/>
      <c r="BBA481" s="13"/>
      <c r="BBB481" s="13"/>
      <c r="BBC481" s="13"/>
      <c r="BBD481" s="13"/>
      <c r="BBE481" s="13"/>
      <c r="BBF481" s="13"/>
      <c r="BBG481" s="13"/>
      <c r="BBH481" s="13"/>
      <c r="BBI481" s="13"/>
      <c r="BBJ481" s="13"/>
      <c r="BBK481" s="13"/>
      <c r="BBL481" s="13"/>
      <c r="BBM481" s="13"/>
      <c r="BBN481" s="13"/>
      <c r="BBO481" s="13"/>
      <c r="BBP481" s="13"/>
      <c r="BBQ481" s="13"/>
      <c r="BBR481" s="13"/>
      <c r="BBS481" s="13"/>
      <c r="BBT481" s="13"/>
      <c r="BBU481" s="13"/>
      <c r="BBV481" s="13"/>
      <c r="BBW481" s="13"/>
      <c r="BBX481" s="13"/>
      <c r="BBY481" s="13"/>
      <c r="BBZ481" s="13"/>
      <c r="BCA481" s="13"/>
      <c r="BCB481" s="13"/>
      <c r="BCC481" s="13"/>
      <c r="BCD481" s="13"/>
      <c r="BCE481" s="13"/>
      <c r="BCF481" s="13"/>
      <c r="BCG481" s="13"/>
      <c r="BCH481" s="13"/>
      <c r="BCI481" s="13"/>
      <c r="BCJ481" s="13"/>
      <c r="BCK481" s="13"/>
      <c r="BCL481" s="13"/>
      <c r="BCM481" s="13"/>
      <c r="BCN481" s="13"/>
      <c r="BCO481" s="13"/>
      <c r="BCP481" s="13"/>
      <c r="BCQ481" s="13"/>
      <c r="BCR481" s="13"/>
      <c r="BCS481" s="13"/>
      <c r="BCT481" s="13"/>
      <c r="BCU481" s="13"/>
      <c r="BCV481" s="13"/>
      <c r="BCW481" s="13"/>
      <c r="BCX481" s="13"/>
      <c r="BCY481" s="13"/>
      <c r="BCZ481" s="13"/>
      <c r="BDA481" s="13"/>
      <c r="BDB481" s="13"/>
      <c r="BDC481" s="13"/>
      <c r="BDD481" s="13"/>
      <c r="BDE481" s="13"/>
      <c r="BDF481" s="13"/>
      <c r="BDG481" s="13"/>
      <c r="BDH481" s="13"/>
      <c r="BDI481" s="13"/>
      <c r="BDJ481" s="13"/>
      <c r="BDK481" s="13"/>
      <c r="BDL481" s="13"/>
      <c r="BDM481" s="13"/>
      <c r="BDN481" s="13"/>
      <c r="BDO481" s="13"/>
      <c r="BDP481" s="13"/>
      <c r="BDQ481" s="13"/>
      <c r="BDR481" s="13"/>
      <c r="BDS481" s="13"/>
      <c r="BDT481" s="13"/>
      <c r="BDU481" s="13"/>
      <c r="BDV481" s="13"/>
      <c r="BDW481" s="13"/>
      <c r="BDX481" s="13"/>
      <c r="BDY481" s="13"/>
      <c r="BDZ481" s="13"/>
      <c r="BEA481" s="13"/>
      <c r="BEB481" s="13"/>
      <c r="BEC481" s="13"/>
      <c r="BED481" s="13"/>
      <c r="BEE481" s="13"/>
      <c r="BEF481" s="13"/>
      <c r="BEG481" s="13"/>
      <c r="BEH481" s="13"/>
      <c r="BEI481" s="13"/>
      <c r="BEJ481" s="13"/>
      <c r="BEK481" s="13"/>
      <c r="BEL481" s="13"/>
      <c r="BEM481" s="13"/>
      <c r="BEN481" s="13"/>
      <c r="BEO481" s="13"/>
      <c r="BEP481" s="13"/>
      <c r="BEQ481" s="13"/>
      <c r="BER481" s="13"/>
      <c r="BES481" s="13"/>
      <c r="BET481" s="13"/>
      <c r="BEU481" s="13"/>
      <c r="BEV481" s="13"/>
      <c r="BEW481" s="13"/>
      <c r="BEX481" s="13"/>
      <c r="BEY481" s="13"/>
      <c r="BEZ481" s="13"/>
      <c r="BFA481" s="13"/>
      <c r="BFB481" s="13"/>
      <c r="BFC481" s="13"/>
      <c r="BFD481" s="13"/>
      <c r="BFE481" s="13"/>
      <c r="BFF481" s="13"/>
      <c r="BFG481" s="13"/>
      <c r="BFH481" s="13"/>
      <c r="BFI481" s="13"/>
      <c r="BFJ481" s="13"/>
      <c r="BFK481" s="13"/>
      <c r="BFL481" s="13"/>
      <c r="BFM481" s="13"/>
      <c r="BFN481" s="13"/>
      <c r="BFO481" s="13"/>
      <c r="BFP481" s="13"/>
      <c r="BFQ481" s="13"/>
      <c r="BFR481" s="13"/>
      <c r="BFS481" s="13"/>
      <c r="BFT481" s="13"/>
      <c r="BFU481" s="13"/>
      <c r="BFV481" s="13"/>
      <c r="BFW481" s="13"/>
      <c r="BFX481" s="13"/>
      <c r="BFY481" s="13"/>
      <c r="BFZ481" s="13"/>
      <c r="BGA481" s="13"/>
      <c r="BGB481" s="13"/>
      <c r="BGC481" s="13"/>
      <c r="BGD481" s="13"/>
      <c r="BGE481" s="13"/>
      <c r="BGF481" s="13"/>
      <c r="BGG481" s="13"/>
      <c r="BGH481" s="13"/>
      <c r="BGI481" s="13"/>
      <c r="BGJ481" s="13"/>
      <c r="BGK481" s="13"/>
      <c r="BGL481" s="13"/>
      <c r="BGM481" s="13"/>
      <c r="BGN481" s="13"/>
      <c r="BGO481" s="13"/>
      <c r="BGP481" s="13"/>
      <c r="BGQ481" s="13"/>
      <c r="BGR481" s="13"/>
      <c r="BGS481" s="13"/>
      <c r="BGT481" s="13"/>
      <c r="BGU481" s="13"/>
      <c r="BGV481" s="13"/>
      <c r="BGW481" s="13"/>
      <c r="BGX481" s="13"/>
      <c r="BGY481" s="13"/>
      <c r="BGZ481" s="13"/>
      <c r="BHA481" s="13"/>
      <c r="BHB481" s="13"/>
      <c r="BHC481" s="13"/>
      <c r="BHD481" s="13"/>
      <c r="BHE481" s="13"/>
      <c r="BHF481" s="13"/>
      <c r="BHG481" s="13"/>
      <c r="BHH481" s="13"/>
      <c r="BHI481" s="13"/>
      <c r="BHJ481" s="13"/>
      <c r="BHK481" s="13"/>
      <c r="BHL481" s="13"/>
      <c r="BHM481" s="13"/>
      <c r="BHN481" s="13"/>
      <c r="BHO481" s="13"/>
      <c r="BHP481" s="13"/>
      <c r="BHQ481" s="13"/>
      <c r="BHR481" s="13"/>
      <c r="BHS481" s="13"/>
      <c r="BHT481" s="13"/>
      <c r="BHU481" s="13"/>
      <c r="BHV481" s="13"/>
      <c r="BHW481" s="13"/>
      <c r="BHX481" s="13"/>
      <c r="BHY481" s="13"/>
      <c r="BHZ481" s="13"/>
      <c r="BIA481" s="13"/>
      <c r="BIB481" s="13"/>
      <c r="BIC481" s="13"/>
      <c r="BID481" s="13"/>
      <c r="BIE481" s="13"/>
      <c r="BIF481" s="13"/>
      <c r="BIG481" s="13"/>
      <c r="BIH481" s="13"/>
      <c r="BII481" s="13"/>
      <c r="BIJ481" s="13"/>
      <c r="BIK481" s="13"/>
      <c r="BIL481" s="13"/>
      <c r="BIM481" s="13"/>
      <c r="BIN481" s="13"/>
      <c r="BIO481" s="13"/>
      <c r="BIP481" s="13"/>
      <c r="BIQ481" s="13"/>
      <c r="BIR481" s="13"/>
      <c r="BIS481" s="13"/>
      <c r="BIT481" s="13"/>
      <c r="BIU481" s="13"/>
      <c r="BIV481" s="13"/>
      <c r="BIW481" s="13"/>
      <c r="BIX481" s="13"/>
      <c r="BIY481" s="13"/>
      <c r="BIZ481" s="13"/>
      <c r="BJA481" s="13"/>
      <c r="BJB481" s="13"/>
      <c r="BJC481" s="13"/>
      <c r="BJD481" s="13"/>
      <c r="BJE481" s="13"/>
      <c r="BJF481" s="13"/>
      <c r="BJG481" s="13"/>
      <c r="BJH481" s="13"/>
      <c r="BJI481" s="13"/>
      <c r="BJJ481" s="13"/>
      <c r="BJK481" s="13"/>
      <c r="BJL481" s="13"/>
      <c r="BJM481" s="13"/>
      <c r="BJN481" s="13"/>
      <c r="BJO481" s="13"/>
      <c r="BJP481" s="13"/>
      <c r="BJQ481" s="13"/>
      <c r="BJR481" s="13"/>
      <c r="BJS481" s="13"/>
      <c r="BJT481" s="13"/>
      <c r="BJU481" s="13"/>
      <c r="BJV481" s="13"/>
      <c r="BJW481" s="13"/>
      <c r="BJX481" s="13"/>
      <c r="BJY481" s="13"/>
      <c r="BJZ481" s="13"/>
      <c r="BKA481" s="13"/>
      <c r="BKB481" s="13"/>
      <c r="BKC481" s="13"/>
      <c r="BKD481" s="13"/>
      <c r="BKE481" s="13"/>
      <c r="BKF481" s="13"/>
      <c r="BKG481" s="13"/>
      <c r="BKH481" s="13"/>
      <c r="BKI481" s="13"/>
      <c r="BKJ481" s="13"/>
      <c r="BKK481" s="13"/>
      <c r="BKL481" s="13"/>
      <c r="BKM481" s="13"/>
      <c r="BKN481" s="13"/>
      <c r="BKO481" s="13"/>
      <c r="BKP481" s="13"/>
      <c r="BKQ481" s="13"/>
      <c r="BKR481" s="13"/>
      <c r="BKS481" s="13"/>
      <c r="BKT481" s="13"/>
      <c r="BKU481" s="13"/>
      <c r="BKV481" s="13"/>
      <c r="BKW481" s="13"/>
      <c r="BKX481" s="13"/>
      <c r="BKY481" s="13"/>
      <c r="BKZ481" s="13"/>
      <c r="BLA481" s="13"/>
      <c r="BLB481" s="13"/>
      <c r="BLC481" s="13"/>
      <c r="BLD481" s="13"/>
      <c r="BLE481" s="13"/>
      <c r="BLF481" s="13"/>
      <c r="BLG481" s="13"/>
      <c r="BLH481" s="13"/>
      <c r="BLI481" s="13"/>
      <c r="BLJ481" s="13"/>
      <c r="BLK481" s="13"/>
      <c r="BLL481" s="13"/>
      <c r="BLM481" s="13"/>
      <c r="BLN481" s="13"/>
      <c r="BLO481" s="13"/>
      <c r="BLP481" s="13"/>
      <c r="BLQ481" s="13"/>
      <c r="BLR481" s="13"/>
      <c r="BLS481" s="13"/>
      <c r="BLT481" s="13"/>
      <c r="BLU481" s="13"/>
      <c r="BLV481" s="13"/>
      <c r="BLW481" s="13"/>
      <c r="BLX481" s="13"/>
      <c r="BLY481" s="13"/>
      <c r="BLZ481" s="13"/>
      <c r="BMA481" s="13"/>
      <c r="BMB481" s="13"/>
      <c r="BMC481" s="13"/>
      <c r="BMD481" s="13"/>
      <c r="BME481" s="13"/>
      <c r="BMF481" s="13"/>
      <c r="BMG481" s="13"/>
      <c r="BMH481" s="13"/>
      <c r="BMI481" s="13"/>
      <c r="BMJ481" s="13"/>
      <c r="BMK481" s="13"/>
      <c r="BML481" s="13"/>
      <c r="BMM481" s="13"/>
      <c r="BMN481" s="13"/>
      <c r="BMO481" s="13"/>
      <c r="BMP481" s="13"/>
      <c r="BMQ481" s="13"/>
      <c r="BMR481" s="13"/>
      <c r="BMS481" s="13"/>
      <c r="BMT481" s="13"/>
      <c r="BMU481" s="13"/>
      <c r="BMV481" s="13"/>
      <c r="BMW481" s="13"/>
      <c r="BMX481" s="13"/>
      <c r="BMY481" s="13"/>
      <c r="BMZ481" s="13"/>
      <c r="BNA481" s="13"/>
      <c r="BNB481" s="13"/>
      <c r="BNC481" s="13"/>
      <c r="BND481" s="13"/>
      <c r="BNE481" s="13"/>
      <c r="BNF481" s="13"/>
      <c r="BNG481" s="13"/>
      <c r="BNH481" s="13"/>
      <c r="BNI481" s="13"/>
      <c r="BNJ481" s="13"/>
      <c r="BNK481" s="13"/>
      <c r="BNL481" s="13"/>
      <c r="BNM481" s="13"/>
      <c r="BNN481" s="13"/>
      <c r="BNO481" s="13"/>
      <c r="BNP481" s="13"/>
      <c r="BNQ481" s="13"/>
      <c r="BNR481" s="13"/>
      <c r="BNS481" s="13"/>
      <c r="BNT481" s="13"/>
      <c r="BNU481" s="13"/>
      <c r="BNV481" s="13"/>
      <c r="BNW481" s="13"/>
      <c r="BNX481" s="13"/>
      <c r="BNY481" s="13"/>
      <c r="BNZ481" s="13"/>
      <c r="BOA481" s="13"/>
      <c r="BOB481" s="13"/>
      <c r="BOC481" s="13"/>
      <c r="BOD481" s="13"/>
      <c r="BOE481" s="13"/>
      <c r="BOF481" s="13"/>
      <c r="BOG481" s="13"/>
      <c r="BOH481" s="13"/>
      <c r="BOI481" s="13"/>
      <c r="BOJ481" s="13"/>
      <c r="BOK481" s="13"/>
      <c r="BOL481" s="13"/>
      <c r="BOM481" s="13"/>
      <c r="BON481" s="13"/>
      <c r="BOO481" s="13"/>
      <c r="BOP481" s="13"/>
      <c r="BOQ481" s="13"/>
      <c r="BOR481" s="13"/>
      <c r="BOS481" s="13"/>
      <c r="BOT481" s="13"/>
      <c r="BOU481" s="13"/>
      <c r="BOV481" s="13"/>
      <c r="BOW481" s="13"/>
      <c r="BOX481" s="13"/>
      <c r="BOY481" s="13"/>
      <c r="BOZ481" s="13"/>
      <c r="BPA481" s="13"/>
      <c r="BPB481" s="13"/>
      <c r="BPC481" s="13"/>
      <c r="BPD481" s="13"/>
      <c r="BPE481" s="13"/>
      <c r="BPF481" s="13"/>
      <c r="BPG481" s="13"/>
      <c r="BPH481" s="13"/>
      <c r="BPI481" s="13"/>
      <c r="BPJ481" s="13"/>
      <c r="BPK481" s="13"/>
      <c r="BPL481" s="13"/>
      <c r="BPM481" s="13"/>
      <c r="BPN481" s="13"/>
      <c r="BPO481" s="13"/>
      <c r="BPP481" s="13"/>
      <c r="BPQ481" s="13"/>
      <c r="BPR481" s="13"/>
      <c r="BPS481" s="13"/>
      <c r="BPT481" s="13"/>
      <c r="BPU481" s="13"/>
      <c r="BPV481" s="13"/>
      <c r="BPW481" s="13"/>
      <c r="BPX481" s="13"/>
      <c r="BPY481" s="13"/>
      <c r="BPZ481" s="13"/>
      <c r="BQA481" s="13"/>
      <c r="BQB481" s="13"/>
      <c r="BQC481" s="13"/>
      <c r="BQD481" s="13"/>
      <c r="BQE481" s="13"/>
      <c r="BQF481" s="13"/>
      <c r="BQG481" s="13"/>
      <c r="BQH481" s="13"/>
      <c r="BQI481" s="13"/>
      <c r="BQJ481" s="13"/>
      <c r="BQK481" s="13"/>
      <c r="BQL481" s="13"/>
      <c r="BQM481" s="13"/>
      <c r="BQN481" s="13"/>
      <c r="BQO481" s="13"/>
      <c r="BQP481" s="13"/>
      <c r="BQQ481" s="13"/>
      <c r="BQR481" s="13"/>
      <c r="BQS481" s="13"/>
      <c r="BQT481" s="13"/>
      <c r="BQU481" s="13"/>
      <c r="BQV481" s="13"/>
      <c r="BQW481" s="13"/>
      <c r="BQX481" s="13"/>
      <c r="BQY481" s="13"/>
      <c r="BQZ481" s="13"/>
      <c r="BRA481" s="13"/>
      <c r="BRB481" s="13"/>
      <c r="BRC481" s="13"/>
      <c r="BRD481" s="13"/>
      <c r="BRE481" s="13"/>
      <c r="BRF481" s="13"/>
      <c r="BRG481" s="13"/>
      <c r="BRH481" s="13"/>
      <c r="BRI481" s="13"/>
      <c r="BRJ481" s="13"/>
      <c r="BRK481" s="13"/>
      <c r="BRL481" s="13"/>
      <c r="BRM481" s="13"/>
      <c r="BRN481" s="13"/>
      <c r="BRO481" s="13"/>
      <c r="BRP481" s="13"/>
      <c r="BRQ481" s="13"/>
      <c r="BRR481" s="13"/>
      <c r="BRS481" s="13"/>
      <c r="BRT481" s="13"/>
      <c r="BRU481" s="13"/>
      <c r="BRV481" s="13"/>
      <c r="BRW481" s="13"/>
      <c r="BRX481" s="13"/>
      <c r="BRY481" s="13"/>
      <c r="BRZ481" s="13"/>
      <c r="BSA481" s="13"/>
      <c r="BSB481" s="13"/>
      <c r="BSC481" s="13"/>
      <c r="BSD481" s="13"/>
      <c r="BSE481" s="13"/>
      <c r="BSF481" s="13"/>
      <c r="BSG481" s="13"/>
      <c r="BSH481" s="13"/>
      <c r="BSI481" s="13"/>
      <c r="BSJ481" s="13"/>
      <c r="BSK481" s="13"/>
      <c r="BSL481" s="13"/>
      <c r="BSM481" s="13"/>
      <c r="BSN481" s="13"/>
      <c r="BSO481" s="13"/>
      <c r="BSP481" s="13"/>
      <c r="BSQ481" s="13"/>
      <c r="BSR481" s="13"/>
      <c r="BSS481" s="13"/>
      <c r="BST481" s="13"/>
      <c r="BSU481" s="13"/>
      <c r="BSV481" s="13"/>
      <c r="BSW481" s="13"/>
      <c r="BSX481" s="13"/>
      <c r="BSY481" s="13"/>
      <c r="BSZ481" s="13"/>
      <c r="BTA481" s="13"/>
      <c r="BTB481" s="13"/>
      <c r="BTC481" s="13"/>
      <c r="BTD481" s="13"/>
      <c r="BTE481" s="13"/>
      <c r="BTF481" s="13"/>
      <c r="BTG481" s="13"/>
      <c r="BTH481" s="13"/>
      <c r="BTI481" s="13"/>
      <c r="BTJ481" s="13"/>
      <c r="BTK481" s="13"/>
      <c r="BTL481" s="13"/>
      <c r="BTM481" s="13"/>
      <c r="BTN481" s="13"/>
      <c r="BTO481" s="13"/>
      <c r="BTP481" s="13"/>
      <c r="BTQ481" s="13"/>
      <c r="BTR481" s="13"/>
      <c r="BTS481" s="13"/>
      <c r="BTT481" s="13"/>
      <c r="BTU481" s="13"/>
      <c r="BTV481" s="13"/>
      <c r="BTW481" s="13"/>
      <c r="BTX481" s="13"/>
      <c r="BTY481" s="13"/>
      <c r="BTZ481" s="13"/>
      <c r="BUA481" s="13"/>
      <c r="BUB481" s="13"/>
      <c r="BUC481" s="13"/>
      <c r="BUD481" s="13"/>
      <c r="BUE481" s="13"/>
      <c r="BUF481" s="13"/>
      <c r="BUG481" s="13"/>
      <c r="BUH481" s="13"/>
      <c r="BUI481" s="13"/>
      <c r="BUJ481" s="13"/>
      <c r="BUK481" s="13"/>
      <c r="BUL481" s="13"/>
      <c r="BUM481" s="13"/>
      <c r="BUN481" s="13"/>
      <c r="BUO481" s="13"/>
      <c r="BUP481" s="13"/>
      <c r="BUQ481" s="13"/>
      <c r="BUR481" s="13"/>
      <c r="BUS481" s="13"/>
      <c r="BUT481" s="13"/>
      <c r="BUU481" s="13"/>
      <c r="BUV481" s="13"/>
      <c r="BUW481" s="13"/>
      <c r="BUX481" s="13"/>
      <c r="BUY481" s="13"/>
      <c r="BUZ481" s="13"/>
      <c r="BVA481" s="13"/>
      <c r="BVB481" s="13"/>
      <c r="BVC481" s="13"/>
      <c r="BVD481" s="13"/>
      <c r="BVE481" s="13"/>
      <c r="BVF481" s="13"/>
      <c r="BVG481" s="13"/>
      <c r="BVH481" s="13"/>
      <c r="BVI481" s="13"/>
      <c r="BVJ481" s="13"/>
      <c r="BVK481" s="13"/>
      <c r="BVL481" s="13"/>
      <c r="BVM481" s="13"/>
      <c r="BVN481" s="13"/>
      <c r="BVO481" s="13"/>
      <c r="BVP481" s="13"/>
      <c r="BVQ481" s="13"/>
      <c r="BVR481" s="13"/>
      <c r="BVS481" s="13"/>
      <c r="BVT481" s="13"/>
      <c r="BVU481" s="13"/>
      <c r="BVV481" s="13"/>
      <c r="BVW481" s="13"/>
      <c r="BVX481" s="13"/>
      <c r="BVY481" s="13"/>
      <c r="BVZ481" s="13"/>
      <c r="BWA481" s="13"/>
      <c r="BWB481" s="13"/>
      <c r="BWC481" s="13"/>
      <c r="BWD481" s="13"/>
      <c r="BWE481" s="13"/>
      <c r="BWF481" s="13"/>
      <c r="BWG481" s="13"/>
      <c r="BWH481" s="13"/>
      <c r="BWI481" s="13"/>
      <c r="BWJ481" s="13"/>
      <c r="BWK481" s="13"/>
      <c r="BWL481" s="13"/>
      <c r="BWM481" s="13"/>
      <c r="BWN481" s="13"/>
      <c r="BWO481" s="13"/>
      <c r="BWP481" s="13"/>
      <c r="BWQ481" s="13"/>
      <c r="BWR481" s="13"/>
      <c r="BWS481" s="13"/>
      <c r="BWT481" s="13"/>
      <c r="BWU481" s="13"/>
      <c r="BWV481" s="13"/>
      <c r="BWW481" s="13"/>
      <c r="BWX481" s="13"/>
      <c r="BWY481" s="13"/>
      <c r="BWZ481" s="13"/>
      <c r="BXA481" s="13"/>
      <c r="BXB481" s="13"/>
      <c r="BXC481" s="13"/>
      <c r="BXD481" s="13"/>
      <c r="BXE481" s="13"/>
      <c r="BXF481" s="13"/>
      <c r="BXG481" s="13"/>
      <c r="BXH481" s="13"/>
      <c r="BXI481" s="13"/>
      <c r="BXJ481" s="13"/>
      <c r="BXK481" s="13"/>
      <c r="BXL481" s="13"/>
      <c r="BXM481" s="13"/>
      <c r="BXN481" s="13"/>
      <c r="BXO481" s="13"/>
      <c r="BXP481" s="13"/>
      <c r="BXQ481" s="13"/>
      <c r="BXR481" s="13"/>
      <c r="BXS481" s="13"/>
      <c r="BXT481" s="13"/>
      <c r="BXU481" s="13"/>
      <c r="BXV481" s="13"/>
      <c r="BXW481" s="13"/>
      <c r="BXX481" s="13"/>
      <c r="BXY481" s="13"/>
      <c r="BXZ481" s="13"/>
      <c r="BYA481" s="13"/>
      <c r="BYB481" s="13"/>
      <c r="BYC481" s="13"/>
      <c r="BYD481" s="13"/>
      <c r="BYE481" s="13"/>
      <c r="BYF481" s="13"/>
      <c r="BYG481" s="13"/>
      <c r="BYH481" s="13"/>
      <c r="BYI481" s="13"/>
      <c r="BYJ481" s="13"/>
      <c r="BYK481" s="13"/>
      <c r="BYL481" s="13"/>
      <c r="BYM481" s="13"/>
      <c r="BYN481" s="13"/>
      <c r="BYO481" s="13"/>
      <c r="BYP481" s="13"/>
      <c r="BYQ481" s="13"/>
      <c r="BYR481" s="13"/>
      <c r="BYS481" s="13"/>
      <c r="BYT481" s="13"/>
      <c r="BYU481" s="13"/>
      <c r="BYV481" s="13"/>
      <c r="BYW481" s="13"/>
      <c r="BYX481" s="13"/>
      <c r="BYY481" s="13"/>
      <c r="BYZ481" s="13"/>
      <c r="BZA481" s="13"/>
      <c r="BZB481" s="13"/>
      <c r="BZC481" s="13"/>
      <c r="BZD481" s="13"/>
      <c r="BZE481" s="13"/>
      <c r="BZF481" s="13"/>
      <c r="BZG481" s="13"/>
      <c r="BZH481" s="13"/>
      <c r="BZI481" s="13"/>
      <c r="BZJ481" s="13"/>
      <c r="BZK481" s="13"/>
      <c r="BZL481" s="13"/>
      <c r="BZM481" s="13"/>
      <c r="BZN481" s="13"/>
      <c r="BZO481" s="13"/>
      <c r="BZP481" s="13"/>
      <c r="BZQ481" s="13"/>
      <c r="BZR481" s="13"/>
      <c r="BZS481" s="13"/>
      <c r="BZT481" s="13"/>
      <c r="BZU481" s="13"/>
      <c r="BZV481" s="13"/>
      <c r="BZW481" s="13"/>
      <c r="BZX481" s="13"/>
      <c r="BZY481" s="13"/>
      <c r="BZZ481" s="13"/>
      <c r="CAA481" s="13"/>
      <c r="CAB481" s="13"/>
      <c r="CAC481" s="13"/>
      <c r="CAD481" s="13"/>
      <c r="CAE481" s="13"/>
      <c r="CAF481" s="13"/>
      <c r="CAG481" s="13"/>
      <c r="CAH481" s="13"/>
      <c r="CAI481" s="13"/>
      <c r="CAJ481" s="13"/>
      <c r="CAK481" s="13"/>
      <c r="CAL481" s="13"/>
      <c r="CAM481" s="13"/>
      <c r="CAN481" s="13"/>
      <c r="CAO481" s="13"/>
      <c r="CAP481" s="13"/>
      <c r="CAQ481" s="13"/>
      <c r="CAR481" s="13"/>
      <c r="CAS481" s="13"/>
      <c r="CAT481" s="13"/>
      <c r="CAU481" s="13"/>
      <c r="CAV481" s="13"/>
      <c r="CAW481" s="13"/>
      <c r="CAX481" s="13"/>
      <c r="CAY481" s="13"/>
      <c r="CAZ481" s="13"/>
      <c r="CBA481" s="13"/>
      <c r="CBB481" s="13"/>
      <c r="CBC481" s="13"/>
      <c r="CBD481" s="13"/>
      <c r="CBE481" s="13"/>
      <c r="CBF481" s="13"/>
      <c r="CBG481" s="13"/>
      <c r="CBH481" s="13"/>
      <c r="CBI481" s="13"/>
      <c r="CBJ481" s="13"/>
      <c r="CBK481" s="13"/>
      <c r="CBL481" s="13"/>
      <c r="CBM481" s="13"/>
      <c r="CBN481" s="13"/>
      <c r="CBO481" s="13"/>
      <c r="CBP481" s="13"/>
      <c r="CBQ481" s="13"/>
      <c r="CBR481" s="13"/>
      <c r="CBS481" s="13"/>
      <c r="CBT481" s="13"/>
      <c r="CBU481" s="13"/>
      <c r="CBV481" s="13"/>
      <c r="CBW481" s="13"/>
      <c r="CBX481" s="13"/>
      <c r="CBY481" s="13"/>
      <c r="CBZ481" s="13"/>
      <c r="CCA481" s="13"/>
      <c r="CCB481" s="13"/>
      <c r="CCC481" s="13"/>
      <c r="CCD481" s="13"/>
      <c r="CCE481" s="13"/>
      <c r="CCF481" s="13"/>
      <c r="CCG481" s="13"/>
      <c r="CCH481" s="13"/>
      <c r="CCI481" s="13"/>
      <c r="CCJ481" s="13"/>
      <c r="CCK481" s="13"/>
      <c r="CCL481" s="13"/>
      <c r="CCM481" s="13"/>
      <c r="CCN481" s="13"/>
      <c r="CCO481" s="13"/>
      <c r="CCP481" s="13"/>
      <c r="CCQ481" s="13"/>
      <c r="CCR481" s="13"/>
      <c r="CCS481" s="13"/>
      <c r="CCT481" s="13"/>
      <c r="CCU481" s="13"/>
      <c r="CCV481" s="13"/>
      <c r="CCW481" s="13"/>
      <c r="CCX481" s="13"/>
      <c r="CCY481" s="13"/>
      <c r="CCZ481" s="13"/>
      <c r="CDA481" s="13"/>
      <c r="CDB481" s="13"/>
      <c r="CDC481" s="13"/>
      <c r="CDD481" s="13"/>
      <c r="CDE481" s="13"/>
      <c r="CDF481" s="13"/>
      <c r="CDG481" s="13"/>
      <c r="CDH481" s="13"/>
      <c r="CDI481" s="13"/>
      <c r="CDJ481" s="13"/>
      <c r="CDK481" s="13"/>
      <c r="CDL481" s="13"/>
      <c r="CDM481" s="13"/>
      <c r="CDN481" s="13"/>
      <c r="CDO481" s="13"/>
      <c r="CDP481" s="13"/>
      <c r="CDQ481" s="13"/>
      <c r="CDR481" s="13"/>
      <c r="CDS481" s="13"/>
      <c r="CDT481" s="13"/>
      <c r="CDU481" s="13"/>
      <c r="CDV481" s="13"/>
      <c r="CDW481" s="13"/>
      <c r="CDX481" s="13"/>
      <c r="CDY481" s="13"/>
      <c r="CDZ481" s="13"/>
      <c r="CEA481" s="13"/>
      <c r="CEB481" s="13"/>
      <c r="CEC481" s="13"/>
      <c r="CED481" s="13"/>
      <c r="CEE481" s="13"/>
      <c r="CEF481" s="13"/>
      <c r="CEG481" s="13"/>
      <c r="CEH481" s="13"/>
      <c r="CEI481" s="13"/>
      <c r="CEJ481" s="13"/>
      <c r="CEK481" s="13"/>
      <c r="CEL481" s="13"/>
      <c r="CEM481" s="13"/>
      <c r="CEN481" s="13"/>
      <c r="CEO481" s="13"/>
      <c r="CEP481" s="13"/>
      <c r="CEQ481" s="13"/>
      <c r="CER481" s="13"/>
      <c r="CES481" s="13"/>
      <c r="CET481" s="13"/>
      <c r="CEU481" s="13"/>
      <c r="CEV481" s="13"/>
      <c r="CEW481" s="13"/>
      <c r="CEX481" s="13"/>
      <c r="CEY481" s="13"/>
      <c r="CEZ481" s="13"/>
      <c r="CFA481" s="13"/>
      <c r="CFB481" s="13"/>
      <c r="CFC481" s="13"/>
      <c r="CFD481" s="13"/>
      <c r="CFE481" s="13"/>
      <c r="CFF481" s="13"/>
      <c r="CFG481" s="13"/>
      <c r="CFH481" s="13"/>
      <c r="CFI481" s="13"/>
      <c r="CFJ481" s="13"/>
      <c r="CFK481" s="13"/>
      <c r="CFL481" s="13"/>
      <c r="CFM481" s="13"/>
      <c r="CFN481" s="13"/>
      <c r="CFO481" s="13"/>
      <c r="CFP481" s="13"/>
      <c r="CFQ481" s="13"/>
      <c r="CFR481" s="13"/>
      <c r="CFS481" s="13"/>
      <c r="CFT481" s="13"/>
      <c r="CFU481" s="13"/>
      <c r="CFV481" s="13"/>
      <c r="CFW481" s="13"/>
      <c r="CFX481" s="13"/>
      <c r="CFY481" s="13"/>
      <c r="CFZ481" s="13"/>
      <c r="CGA481" s="13"/>
      <c r="CGB481" s="13"/>
      <c r="CGC481" s="13"/>
      <c r="CGD481" s="13"/>
      <c r="CGE481" s="13"/>
      <c r="CGF481" s="13"/>
      <c r="CGG481" s="13"/>
      <c r="CGH481" s="13"/>
      <c r="CGI481" s="13"/>
      <c r="CGJ481" s="13"/>
      <c r="CGK481" s="13"/>
      <c r="CGL481" s="13"/>
      <c r="CGM481" s="13"/>
      <c r="CGN481" s="13"/>
      <c r="CGO481" s="13"/>
      <c r="CGP481" s="13"/>
      <c r="CGQ481" s="13"/>
      <c r="CGR481" s="13"/>
      <c r="CGS481" s="13"/>
      <c r="CGT481" s="13"/>
      <c r="CGU481" s="13"/>
      <c r="CGV481" s="13"/>
      <c r="CGW481" s="13"/>
      <c r="CGX481" s="13"/>
      <c r="CGY481" s="13"/>
      <c r="CGZ481" s="13"/>
      <c r="CHA481" s="13"/>
      <c r="CHB481" s="13"/>
      <c r="CHC481" s="13"/>
      <c r="CHD481" s="13"/>
      <c r="CHE481" s="13"/>
      <c r="CHF481" s="13"/>
      <c r="CHG481" s="13"/>
      <c r="CHH481" s="13"/>
      <c r="CHI481" s="13"/>
      <c r="CHJ481" s="13"/>
      <c r="CHK481" s="13"/>
      <c r="CHL481" s="13"/>
      <c r="CHM481" s="13"/>
      <c r="CHN481" s="13"/>
      <c r="CHO481" s="13"/>
      <c r="CHP481" s="13"/>
      <c r="CHQ481" s="13"/>
      <c r="CHR481" s="13"/>
      <c r="CHS481" s="13"/>
      <c r="CHT481" s="13"/>
      <c r="CHU481" s="13"/>
      <c r="CHV481" s="13"/>
      <c r="CHW481" s="13"/>
      <c r="CHX481" s="13"/>
      <c r="CHY481" s="13"/>
      <c r="CHZ481" s="13"/>
      <c r="CIA481" s="13"/>
      <c r="CIB481" s="13"/>
      <c r="CIC481" s="13"/>
      <c r="CID481" s="13"/>
      <c r="CIE481" s="13"/>
      <c r="CIF481" s="13"/>
      <c r="CIG481" s="13"/>
      <c r="CIH481" s="13"/>
      <c r="CII481" s="13"/>
      <c r="CIJ481" s="13"/>
      <c r="CIK481" s="13"/>
      <c r="CIL481" s="13"/>
      <c r="CIM481" s="13"/>
      <c r="CIN481" s="13"/>
      <c r="CIO481" s="13"/>
      <c r="CIP481" s="13"/>
      <c r="CIQ481" s="13"/>
      <c r="CIR481" s="13"/>
      <c r="CIS481" s="13"/>
      <c r="CIT481" s="13"/>
      <c r="CIU481" s="13"/>
      <c r="CIV481" s="13"/>
      <c r="CIW481" s="13"/>
      <c r="CIX481" s="13"/>
      <c r="CIY481" s="13"/>
      <c r="CIZ481" s="13"/>
      <c r="CJA481" s="13"/>
      <c r="CJB481" s="13"/>
      <c r="CJC481" s="13"/>
      <c r="CJD481" s="13"/>
      <c r="CJE481" s="13"/>
      <c r="CJF481" s="13"/>
      <c r="CJG481" s="13"/>
      <c r="CJH481" s="13"/>
      <c r="CJI481" s="13"/>
      <c r="CJJ481" s="13"/>
      <c r="CJK481" s="13"/>
      <c r="CJL481" s="13"/>
      <c r="CJM481" s="13"/>
      <c r="CJN481" s="13"/>
      <c r="CJO481" s="13"/>
      <c r="CJP481" s="13"/>
      <c r="CJQ481" s="13"/>
      <c r="CJR481" s="13"/>
      <c r="CJS481" s="13"/>
      <c r="CJT481" s="13"/>
      <c r="CJU481" s="13"/>
      <c r="CJV481" s="13"/>
      <c r="CJW481" s="13"/>
      <c r="CJX481" s="13"/>
      <c r="CJY481" s="13"/>
      <c r="CJZ481" s="13"/>
      <c r="CKA481" s="13"/>
      <c r="CKB481" s="13"/>
      <c r="CKC481" s="13"/>
      <c r="CKD481" s="13"/>
      <c r="CKE481" s="13"/>
      <c r="CKF481" s="13"/>
      <c r="CKG481" s="13"/>
      <c r="CKH481" s="13"/>
      <c r="CKI481" s="13"/>
      <c r="CKJ481" s="13"/>
      <c r="CKK481" s="13"/>
      <c r="CKL481" s="13"/>
      <c r="CKM481" s="13"/>
      <c r="CKN481" s="13"/>
      <c r="CKO481" s="13"/>
      <c r="CKP481" s="13"/>
      <c r="CKQ481" s="13"/>
      <c r="CKR481" s="13"/>
      <c r="CKS481" s="13"/>
      <c r="CKT481" s="13"/>
      <c r="CKU481" s="13"/>
      <c r="CKV481" s="13"/>
      <c r="CKW481" s="13"/>
      <c r="CKX481" s="13"/>
      <c r="CKY481" s="13"/>
      <c r="CKZ481" s="13"/>
      <c r="CLA481" s="13"/>
      <c r="CLB481" s="13"/>
      <c r="CLC481" s="13"/>
      <c r="CLD481" s="13"/>
      <c r="CLE481" s="13"/>
      <c r="CLF481" s="13"/>
      <c r="CLG481" s="13"/>
      <c r="CLH481" s="13"/>
      <c r="CLI481" s="13"/>
      <c r="CLJ481" s="13"/>
      <c r="CLK481" s="13"/>
      <c r="CLL481" s="13"/>
      <c r="CLM481" s="13"/>
      <c r="CLN481" s="13"/>
      <c r="CLO481" s="13"/>
      <c r="CLP481" s="13"/>
      <c r="CLQ481" s="13"/>
      <c r="CLR481" s="13"/>
      <c r="CLS481" s="13"/>
      <c r="CLT481" s="13"/>
      <c r="CLU481" s="13"/>
      <c r="CLV481" s="13"/>
      <c r="CLW481" s="13"/>
      <c r="CLX481" s="13"/>
      <c r="CLY481" s="13"/>
      <c r="CLZ481" s="13"/>
      <c r="CMA481" s="13"/>
      <c r="CMB481" s="13"/>
      <c r="CMC481" s="13"/>
      <c r="CMD481" s="13"/>
      <c r="CME481" s="13"/>
      <c r="CMF481" s="13"/>
      <c r="CMG481" s="13"/>
      <c r="CMH481" s="13"/>
      <c r="CMI481" s="13"/>
      <c r="CMJ481" s="13"/>
      <c r="CMK481" s="13"/>
      <c r="CML481" s="13"/>
      <c r="CMM481" s="13"/>
      <c r="CMN481" s="13"/>
      <c r="CMO481" s="13"/>
      <c r="CMP481" s="13"/>
      <c r="CMQ481" s="13"/>
      <c r="CMR481" s="13"/>
      <c r="CMS481" s="13"/>
      <c r="CMT481" s="13"/>
      <c r="CMU481" s="13"/>
      <c r="CMV481" s="13"/>
      <c r="CMW481" s="13"/>
      <c r="CMX481" s="13"/>
      <c r="CMY481" s="13"/>
      <c r="CMZ481" s="13"/>
      <c r="CNA481" s="13"/>
      <c r="CNB481" s="13"/>
      <c r="CNC481" s="13"/>
      <c r="CND481" s="13"/>
      <c r="CNE481" s="13"/>
      <c r="CNF481" s="13"/>
      <c r="CNG481" s="13"/>
      <c r="CNH481" s="13"/>
      <c r="CNI481" s="13"/>
      <c r="CNJ481" s="13"/>
      <c r="CNK481" s="13"/>
      <c r="CNL481" s="13"/>
      <c r="CNM481" s="13"/>
      <c r="CNN481" s="13"/>
      <c r="CNO481" s="13"/>
      <c r="CNP481" s="13"/>
      <c r="CNQ481" s="13"/>
      <c r="CNR481" s="13"/>
      <c r="CNS481" s="13"/>
      <c r="CNT481" s="13"/>
      <c r="CNU481" s="13"/>
      <c r="CNV481" s="13"/>
      <c r="CNW481" s="13"/>
      <c r="CNX481" s="13"/>
      <c r="CNY481" s="13"/>
      <c r="CNZ481" s="13"/>
      <c r="COA481" s="13"/>
      <c r="COB481" s="13"/>
      <c r="COC481" s="13"/>
      <c r="COD481" s="13"/>
      <c r="COE481" s="13"/>
      <c r="COF481" s="13"/>
      <c r="COG481" s="13"/>
      <c r="COH481" s="13"/>
      <c r="COI481" s="13"/>
      <c r="COJ481" s="13"/>
      <c r="COK481" s="13"/>
      <c r="COL481" s="13"/>
      <c r="COM481" s="13"/>
      <c r="CON481" s="13"/>
      <c r="COO481" s="13"/>
      <c r="COP481" s="13"/>
      <c r="COQ481" s="13"/>
      <c r="COR481" s="13"/>
      <c r="COS481" s="13"/>
      <c r="COT481" s="13"/>
      <c r="COU481" s="13"/>
      <c r="COV481" s="13"/>
      <c r="COW481" s="13"/>
      <c r="COX481" s="13"/>
      <c r="COY481" s="13"/>
      <c r="COZ481" s="13"/>
      <c r="CPA481" s="13"/>
      <c r="CPB481" s="13"/>
      <c r="CPC481" s="13"/>
      <c r="CPD481" s="13"/>
      <c r="CPE481" s="13"/>
      <c r="CPF481" s="13"/>
      <c r="CPG481" s="13"/>
      <c r="CPH481" s="13"/>
      <c r="CPI481" s="13"/>
      <c r="CPJ481" s="13"/>
      <c r="CPK481" s="13"/>
      <c r="CPL481" s="13"/>
      <c r="CPM481" s="13"/>
      <c r="CPN481" s="13"/>
      <c r="CPO481" s="13"/>
      <c r="CPP481" s="13"/>
      <c r="CPQ481" s="13"/>
      <c r="CPR481" s="13"/>
      <c r="CPS481" s="13"/>
      <c r="CPT481" s="13"/>
      <c r="CPU481" s="13"/>
      <c r="CPV481" s="13"/>
      <c r="CPW481" s="13"/>
      <c r="CPX481" s="13"/>
      <c r="CPY481" s="13"/>
      <c r="CPZ481" s="13"/>
      <c r="CQA481" s="13"/>
      <c r="CQB481" s="13"/>
      <c r="CQC481" s="13"/>
      <c r="CQD481" s="13"/>
      <c r="CQE481" s="13"/>
      <c r="CQF481" s="13"/>
      <c r="CQG481" s="13"/>
      <c r="CQH481" s="13"/>
      <c r="CQI481" s="13"/>
      <c r="CQJ481" s="13"/>
      <c r="CQK481" s="13"/>
      <c r="CQL481" s="13"/>
      <c r="CQM481" s="13"/>
      <c r="CQN481" s="13"/>
      <c r="CQO481" s="13"/>
      <c r="CQP481" s="13"/>
      <c r="CQQ481" s="13"/>
      <c r="CQR481" s="13"/>
      <c r="CQS481" s="13"/>
      <c r="CQT481" s="13"/>
      <c r="CQU481" s="13"/>
      <c r="CQV481" s="13"/>
      <c r="CQW481" s="13"/>
      <c r="CQX481" s="13"/>
      <c r="CQY481" s="13"/>
      <c r="CQZ481" s="13"/>
      <c r="CRA481" s="13"/>
      <c r="CRB481" s="13"/>
      <c r="CRC481" s="13"/>
      <c r="CRD481" s="13"/>
      <c r="CRE481" s="13"/>
      <c r="CRF481" s="13"/>
      <c r="CRG481" s="13"/>
      <c r="CRH481" s="13"/>
      <c r="CRI481" s="13"/>
      <c r="CRJ481" s="13"/>
      <c r="CRK481" s="13"/>
      <c r="CRL481" s="13"/>
      <c r="CRM481" s="13"/>
      <c r="CRN481" s="13"/>
      <c r="CRO481" s="13"/>
      <c r="CRP481" s="13"/>
      <c r="CRQ481" s="13"/>
      <c r="CRR481" s="13"/>
      <c r="CRS481" s="13"/>
      <c r="CRT481" s="13"/>
      <c r="CRU481" s="13"/>
      <c r="CRV481" s="13"/>
      <c r="CRW481" s="13"/>
      <c r="CRX481" s="13"/>
      <c r="CRY481" s="13"/>
      <c r="CRZ481" s="13"/>
      <c r="CSA481" s="13"/>
      <c r="CSB481" s="13"/>
      <c r="CSC481" s="13"/>
      <c r="CSD481" s="13"/>
      <c r="CSE481" s="13"/>
      <c r="CSF481" s="13"/>
      <c r="CSG481" s="13"/>
      <c r="CSH481" s="13"/>
      <c r="CSI481" s="13"/>
      <c r="CSJ481" s="13"/>
      <c r="CSK481" s="13"/>
      <c r="CSL481" s="13"/>
      <c r="CSM481" s="13"/>
      <c r="CSN481" s="13"/>
      <c r="CSO481" s="13"/>
      <c r="CSP481" s="13"/>
      <c r="CSQ481" s="13"/>
      <c r="CSR481" s="13"/>
      <c r="CSS481" s="13"/>
      <c r="CST481" s="13"/>
      <c r="CSU481" s="13"/>
      <c r="CSV481" s="13"/>
      <c r="CSW481" s="13"/>
      <c r="CSX481" s="13"/>
      <c r="CSY481" s="13"/>
      <c r="CSZ481" s="13"/>
      <c r="CTA481" s="13"/>
      <c r="CTB481" s="13"/>
      <c r="CTC481" s="13"/>
      <c r="CTD481" s="13"/>
      <c r="CTE481" s="13"/>
      <c r="CTF481" s="13"/>
      <c r="CTG481" s="13"/>
      <c r="CTH481" s="13"/>
      <c r="CTI481" s="13"/>
      <c r="CTJ481" s="13"/>
      <c r="CTK481" s="13"/>
      <c r="CTL481" s="13"/>
      <c r="CTM481" s="13"/>
      <c r="CTN481" s="13"/>
      <c r="CTO481" s="13"/>
      <c r="CTP481" s="13"/>
      <c r="CTQ481" s="13"/>
      <c r="CTR481" s="13"/>
      <c r="CTS481" s="13"/>
      <c r="CTT481" s="13"/>
      <c r="CTU481" s="13"/>
      <c r="CTV481" s="13"/>
      <c r="CTW481" s="13"/>
      <c r="CTX481" s="13"/>
      <c r="CTY481" s="13"/>
      <c r="CTZ481" s="13"/>
      <c r="CUA481" s="13"/>
      <c r="CUB481" s="13"/>
      <c r="CUC481" s="13"/>
      <c r="CUD481" s="13"/>
      <c r="CUE481" s="13"/>
      <c r="CUF481" s="13"/>
      <c r="CUG481" s="13"/>
      <c r="CUH481" s="13"/>
      <c r="CUI481" s="13"/>
      <c r="CUJ481" s="13"/>
      <c r="CUK481" s="13"/>
      <c r="CUL481" s="13"/>
      <c r="CUM481" s="13"/>
      <c r="CUN481" s="13"/>
      <c r="CUO481" s="13"/>
      <c r="CUP481" s="13"/>
      <c r="CUQ481" s="13"/>
      <c r="CUR481" s="13"/>
      <c r="CUS481" s="13"/>
      <c r="CUT481" s="13"/>
      <c r="CUU481" s="13"/>
      <c r="CUV481" s="13"/>
      <c r="CUW481" s="13"/>
      <c r="CUX481" s="13"/>
      <c r="CUY481" s="13"/>
      <c r="CUZ481" s="13"/>
      <c r="CVA481" s="13"/>
      <c r="CVB481" s="13"/>
      <c r="CVC481" s="13"/>
      <c r="CVD481" s="13"/>
      <c r="CVE481" s="13"/>
      <c r="CVF481" s="13"/>
      <c r="CVG481" s="13"/>
      <c r="CVH481" s="13"/>
      <c r="CVI481" s="13"/>
      <c r="CVJ481" s="13"/>
      <c r="CVK481" s="13"/>
      <c r="CVL481" s="13"/>
      <c r="CVM481" s="13"/>
      <c r="CVN481" s="13"/>
      <c r="CVO481" s="13"/>
      <c r="CVP481" s="13"/>
      <c r="CVQ481" s="13"/>
      <c r="CVR481" s="13"/>
      <c r="CVS481" s="13"/>
      <c r="CVT481" s="13"/>
      <c r="CVU481" s="13"/>
      <c r="CVV481" s="13"/>
      <c r="CVW481" s="13"/>
      <c r="CVX481" s="13"/>
      <c r="CVY481" s="13"/>
      <c r="CVZ481" s="13"/>
      <c r="CWA481" s="13"/>
      <c r="CWB481" s="13"/>
      <c r="CWC481" s="13"/>
      <c r="CWD481" s="13"/>
      <c r="CWE481" s="13"/>
      <c r="CWF481" s="13"/>
      <c r="CWG481" s="13"/>
      <c r="CWH481" s="13"/>
      <c r="CWI481" s="13"/>
      <c r="CWJ481" s="13"/>
      <c r="CWK481" s="13"/>
      <c r="CWL481" s="13"/>
      <c r="CWM481" s="13"/>
      <c r="CWN481" s="13"/>
      <c r="CWO481" s="13"/>
      <c r="CWP481" s="13"/>
      <c r="CWQ481" s="13"/>
      <c r="CWR481" s="13"/>
      <c r="CWS481" s="13"/>
      <c r="CWT481" s="13"/>
      <c r="CWU481" s="13"/>
      <c r="CWV481" s="13"/>
      <c r="CWW481" s="13"/>
      <c r="CWX481" s="13"/>
      <c r="CWY481" s="13"/>
      <c r="CWZ481" s="13"/>
      <c r="CXA481" s="13"/>
      <c r="CXB481" s="13"/>
      <c r="CXC481" s="13"/>
      <c r="CXD481" s="13"/>
      <c r="CXE481" s="13"/>
      <c r="CXF481" s="13"/>
      <c r="CXG481" s="13"/>
      <c r="CXH481" s="13"/>
      <c r="CXI481" s="13"/>
      <c r="CXJ481" s="13"/>
      <c r="CXK481" s="13"/>
      <c r="CXL481" s="13"/>
      <c r="CXM481" s="13"/>
      <c r="CXN481" s="13"/>
      <c r="CXO481" s="13"/>
      <c r="CXP481" s="13"/>
      <c r="CXQ481" s="13"/>
      <c r="CXR481" s="13"/>
      <c r="CXS481" s="13"/>
      <c r="CXT481" s="13"/>
      <c r="CXU481" s="13"/>
      <c r="CXV481" s="13"/>
      <c r="CXW481" s="13"/>
      <c r="CXX481" s="13"/>
      <c r="CXY481" s="13"/>
      <c r="CXZ481" s="13"/>
      <c r="CYA481" s="13"/>
      <c r="CYB481" s="13"/>
      <c r="CYC481" s="13"/>
      <c r="CYD481" s="13"/>
      <c r="CYE481" s="13"/>
      <c r="CYF481" s="13"/>
      <c r="CYG481" s="13"/>
      <c r="CYH481" s="13"/>
      <c r="CYI481" s="13"/>
      <c r="CYJ481" s="13"/>
      <c r="CYK481" s="13"/>
      <c r="CYL481" s="13"/>
      <c r="CYM481" s="13"/>
      <c r="CYN481" s="13"/>
      <c r="CYO481" s="13"/>
      <c r="CYP481" s="13"/>
      <c r="CYQ481" s="13"/>
      <c r="CYR481" s="13"/>
      <c r="CYS481" s="13"/>
      <c r="CYT481" s="13"/>
      <c r="CYU481" s="13"/>
      <c r="CYV481" s="13"/>
      <c r="CYW481" s="13"/>
      <c r="CYX481" s="13"/>
      <c r="CYY481" s="13"/>
      <c r="CYZ481" s="13"/>
      <c r="CZA481" s="13"/>
      <c r="CZB481" s="13"/>
      <c r="CZC481" s="13"/>
      <c r="CZD481" s="13"/>
      <c r="CZE481" s="13"/>
      <c r="CZF481" s="13"/>
      <c r="CZG481" s="13"/>
      <c r="CZH481" s="13"/>
      <c r="CZI481" s="13"/>
      <c r="CZJ481" s="13"/>
      <c r="CZK481" s="13"/>
      <c r="CZL481" s="13"/>
      <c r="CZM481" s="13"/>
      <c r="CZN481" s="13"/>
      <c r="CZO481" s="13"/>
      <c r="CZP481" s="13"/>
      <c r="CZQ481" s="13"/>
      <c r="CZR481" s="13"/>
      <c r="CZS481" s="13"/>
      <c r="CZT481" s="13"/>
      <c r="CZU481" s="13"/>
      <c r="CZV481" s="13"/>
      <c r="CZW481" s="13"/>
      <c r="CZX481" s="13"/>
      <c r="CZY481" s="13"/>
      <c r="CZZ481" s="13"/>
      <c r="DAA481" s="13"/>
      <c r="DAB481" s="13"/>
      <c r="DAC481" s="13"/>
      <c r="DAD481" s="13"/>
      <c r="DAE481" s="13"/>
      <c r="DAF481" s="13"/>
      <c r="DAG481" s="13"/>
      <c r="DAH481" s="13"/>
      <c r="DAI481" s="13"/>
      <c r="DAJ481" s="13"/>
      <c r="DAK481" s="13"/>
      <c r="DAL481" s="13"/>
      <c r="DAM481" s="13"/>
      <c r="DAN481" s="13"/>
      <c r="DAO481" s="13"/>
      <c r="DAP481" s="13"/>
      <c r="DAQ481" s="13"/>
      <c r="DAR481" s="13"/>
      <c r="DAS481" s="13"/>
      <c r="DAT481" s="13"/>
      <c r="DAU481" s="13"/>
      <c r="DAV481" s="13"/>
      <c r="DAW481" s="13"/>
      <c r="DAX481" s="13"/>
      <c r="DAY481" s="13"/>
      <c r="DAZ481" s="13"/>
      <c r="DBA481" s="13"/>
      <c r="DBB481" s="13"/>
      <c r="DBC481" s="13"/>
      <c r="DBD481" s="13"/>
      <c r="DBE481" s="13"/>
      <c r="DBF481" s="13"/>
      <c r="DBG481" s="13"/>
      <c r="DBH481" s="13"/>
      <c r="DBI481" s="13"/>
      <c r="DBJ481" s="13"/>
      <c r="DBK481" s="13"/>
      <c r="DBL481" s="13"/>
      <c r="DBM481" s="13"/>
      <c r="DBN481" s="13"/>
      <c r="DBO481" s="13"/>
      <c r="DBP481" s="13"/>
      <c r="DBQ481" s="13"/>
      <c r="DBR481" s="13"/>
      <c r="DBS481" s="13"/>
      <c r="DBT481" s="13"/>
      <c r="DBU481" s="13"/>
      <c r="DBV481" s="13"/>
      <c r="DBW481" s="13"/>
      <c r="DBX481" s="13"/>
      <c r="DBY481" s="13"/>
      <c r="DBZ481" s="13"/>
      <c r="DCA481" s="13"/>
      <c r="DCB481" s="13"/>
      <c r="DCC481" s="13"/>
      <c r="DCD481" s="13"/>
      <c r="DCE481" s="13"/>
      <c r="DCF481" s="13"/>
      <c r="DCG481" s="13"/>
      <c r="DCH481" s="13"/>
      <c r="DCI481" s="13"/>
      <c r="DCJ481" s="13"/>
      <c r="DCK481" s="13"/>
      <c r="DCL481" s="13"/>
      <c r="DCM481" s="13"/>
      <c r="DCN481" s="13"/>
      <c r="DCO481" s="13"/>
      <c r="DCP481" s="13"/>
      <c r="DCQ481" s="13"/>
      <c r="DCR481" s="13"/>
      <c r="DCS481" s="13"/>
      <c r="DCT481" s="13"/>
      <c r="DCU481" s="13"/>
      <c r="DCV481" s="13"/>
      <c r="DCW481" s="13"/>
      <c r="DCX481" s="13"/>
      <c r="DCY481" s="13"/>
      <c r="DCZ481" s="13"/>
      <c r="DDA481" s="13"/>
      <c r="DDB481" s="13"/>
      <c r="DDC481" s="13"/>
      <c r="DDD481" s="13"/>
      <c r="DDE481" s="13"/>
      <c r="DDF481" s="13"/>
      <c r="DDG481" s="13"/>
      <c r="DDH481" s="13"/>
      <c r="DDI481" s="13"/>
      <c r="DDJ481" s="13"/>
      <c r="DDK481" s="13"/>
      <c r="DDL481" s="13"/>
      <c r="DDM481" s="13"/>
      <c r="DDN481" s="13"/>
      <c r="DDO481" s="13"/>
      <c r="DDP481" s="13"/>
      <c r="DDQ481" s="13"/>
      <c r="DDR481" s="13"/>
      <c r="DDS481" s="13"/>
      <c r="DDT481" s="13"/>
      <c r="DDU481" s="13"/>
      <c r="DDV481" s="13"/>
      <c r="DDW481" s="13"/>
      <c r="DDX481" s="13"/>
      <c r="DDY481" s="13"/>
      <c r="DDZ481" s="13"/>
      <c r="DEA481" s="13"/>
      <c r="DEB481" s="13"/>
      <c r="DEC481" s="13"/>
      <c r="DED481" s="13"/>
      <c r="DEE481" s="13"/>
      <c r="DEF481" s="13"/>
      <c r="DEG481" s="13"/>
      <c r="DEH481" s="13"/>
      <c r="DEI481" s="13"/>
      <c r="DEJ481" s="13"/>
      <c r="DEK481" s="13"/>
      <c r="DEL481" s="13"/>
      <c r="DEM481" s="13"/>
      <c r="DEN481" s="13"/>
      <c r="DEO481" s="13"/>
      <c r="DEP481" s="13"/>
      <c r="DEQ481" s="13"/>
      <c r="DER481" s="13"/>
      <c r="DES481" s="13"/>
      <c r="DET481" s="13"/>
      <c r="DEU481" s="13"/>
      <c r="DEV481" s="13"/>
      <c r="DEW481" s="13"/>
      <c r="DEX481" s="13"/>
      <c r="DEY481" s="13"/>
      <c r="DEZ481" s="13"/>
      <c r="DFA481" s="13"/>
      <c r="DFB481" s="13"/>
      <c r="DFC481" s="13"/>
      <c r="DFD481" s="13"/>
      <c r="DFE481" s="13"/>
      <c r="DFF481" s="13"/>
      <c r="DFG481" s="13"/>
      <c r="DFH481" s="13"/>
      <c r="DFI481" s="13"/>
      <c r="DFJ481" s="13"/>
      <c r="DFK481" s="13"/>
      <c r="DFL481" s="13"/>
      <c r="DFM481" s="13"/>
      <c r="DFN481" s="13"/>
      <c r="DFO481" s="13"/>
      <c r="DFP481" s="13"/>
      <c r="DFQ481" s="13"/>
      <c r="DFR481" s="13"/>
      <c r="DFS481" s="13"/>
      <c r="DFT481" s="13"/>
      <c r="DFU481" s="13"/>
      <c r="DFV481" s="13"/>
      <c r="DFW481" s="13"/>
      <c r="DFX481" s="13"/>
      <c r="DFY481" s="13"/>
      <c r="DFZ481" s="13"/>
      <c r="DGA481" s="13"/>
      <c r="DGB481" s="13"/>
      <c r="DGC481" s="13"/>
      <c r="DGD481" s="13"/>
      <c r="DGE481" s="13"/>
      <c r="DGF481" s="13"/>
      <c r="DGG481" s="13"/>
      <c r="DGH481" s="13"/>
      <c r="DGI481" s="13"/>
      <c r="DGJ481" s="13"/>
      <c r="DGK481" s="13"/>
      <c r="DGL481" s="13"/>
      <c r="DGM481" s="13"/>
      <c r="DGN481" s="13"/>
      <c r="DGO481" s="13"/>
      <c r="DGP481" s="13"/>
      <c r="DGQ481" s="13"/>
      <c r="DGR481" s="13"/>
      <c r="DGS481" s="13"/>
      <c r="DGT481" s="13"/>
      <c r="DGU481" s="13"/>
      <c r="DGV481" s="13"/>
      <c r="DGW481" s="13"/>
      <c r="DGX481" s="13"/>
      <c r="DGY481" s="13"/>
      <c r="DGZ481" s="13"/>
      <c r="DHA481" s="13"/>
      <c r="DHB481" s="13"/>
      <c r="DHC481" s="13"/>
      <c r="DHD481" s="13"/>
      <c r="DHE481" s="13"/>
      <c r="DHF481" s="13"/>
      <c r="DHG481" s="13"/>
      <c r="DHH481" s="13"/>
      <c r="DHI481" s="13"/>
      <c r="DHJ481" s="13"/>
      <c r="DHK481" s="13"/>
      <c r="DHL481" s="13"/>
      <c r="DHM481" s="13"/>
      <c r="DHN481" s="13"/>
      <c r="DHO481" s="13"/>
      <c r="DHP481" s="13"/>
      <c r="DHQ481" s="13"/>
      <c r="DHR481" s="13"/>
      <c r="DHS481" s="13"/>
      <c r="DHT481" s="13"/>
      <c r="DHU481" s="13"/>
      <c r="DHV481" s="13"/>
      <c r="DHW481" s="13"/>
      <c r="DHX481" s="13"/>
      <c r="DHY481" s="13"/>
      <c r="DHZ481" s="13"/>
      <c r="DIA481" s="13"/>
      <c r="DIB481" s="13"/>
      <c r="DIC481" s="13"/>
      <c r="DID481" s="13"/>
      <c r="DIE481" s="13"/>
      <c r="DIF481" s="13"/>
      <c r="DIG481" s="13"/>
      <c r="DIH481" s="13"/>
      <c r="DII481" s="13"/>
      <c r="DIJ481" s="13"/>
      <c r="DIK481" s="13"/>
      <c r="DIL481" s="13"/>
      <c r="DIM481" s="13"/>
      <c r="DIN481" s="13"/>
      <c r="DIO481" s="13"/>
      <c r="DIP481" s="13"/>
      <c r="DIQ481" s="13"/>
      <c r="DIR481" s="13"/>
      <c r="DIS481" s="13"/>
      <c r="DIT481" s="13"/>
      <c r="DIU481" s="13"/>
      <c r="DIV481" s="13"/>
      <c r="DIW481" s="13"/>
      <c r="DIX481" s="13"/>
      <c r="DIY481" s="13"/>
      <c r="DIZ481" s="13"/>
      <c r="DJA481" s="13"/>
      <c r="DJB481" s="13"/>
      <c r="DJC481" s="13"/>
      <c r="DJD481" s="13"/>
      <c r="DJE481" s="13"/>
      <c r="DJF481" s="13"/>
      <c r="DJG481" s="13"/>
      <c r="DJH481" s="13"/>
      <c r="DJI481" s="13"/>
      <c r="DJJ481" s="13"/>
      <c r="DJK481" s="13"/>
      <c r="DJL481" s="13"/>
      <c r="DJM481" s="13"/>
      <c r="DJN481" s="13"/>
      <c r="DJO481" s="13"/>
      <c r="DJP481" s="13"/>
      <c r="DJQ481" s="13"/>
      <c r="DJR481" s="13"/>
      <c r="DJS481" s="13"/>
      <c r="DJT481" s="13"/>
      <c r="DJU481" s="13"/>
      <c r="DJV481" s="13"/>
      <c r="DJW481" s="13"/>
      <c r="DJX481" s="13"/>
      <c r="DJY481" s="13"/>
      <c r="DJZ481" s="13"/>
      <c r="DKA481" s="13"/>
      <c r="DKB481" s="13"/>
      <c r="DKC481" s="13"/>
      <c r="DKD481" s="13"/>
      <c r="DKE481" s="13"/>
      <c r="DKF481" s="13"/>
      <c r="DKG481" s="13"/>
      <c r="DKH481" s="13"/>
      <c r="DKI481" s="13"/>
      <c r="DKJ481" s="13"/>
      <c r="DKK481" s="13"/>
      <c r="DKL481" s="13"/>
      <c r="DKM481" s="13"/>
      <c r="DKN481" s="13"/>
      <c r="DKO481" s="13"/>
      <c r="DKP481" s="13"/>
      <c r="DKQ481" s="13"/>
      <c r="DKR481" s="13"/>
      <c r="DKS481" s="13"/>
      <c r="DKT481" s="13"/>
      <c r="DKU481" s="13"/>
      <c r="DKV481" s="13"/>
      <c r="DKW481" s="13"/>
      <c r="DKX481" s="13"/>
      <c r="DKY481" s="13"/>
      <c r="DKZ481" s="13"/>
      <c r="DLA481" s="13"/>
      <c r="DLB481" s="13"/>
      <c r="DLC481" s="13"/>
      <c r="DLD481" s="13"/>
      <c r="DLE481" s="13"/>
      <c r="DLF481" s="13"/>
      <c r="DLG481" s="13"/>
      <c r="DLH481" s="13"/>
      <c r="DLI481" s="13"/>
      <c r="DLJ481" s="13"/>
      <c r="DLK481" s="13"/>
      <c r="DLL481" s="13"/>
      <c r="DLM481" s="13"/>
      <c r="DLN481" s="13"/>
      <c r="DLO481" s="13"/>
      <c r="DLP481" s="13"/>
      <c r="DLQ481" s="13"/>
      <c r="DLR481" s="13"/>
      <c r="DLS481" s="13"/>
      <c r="DLT481" s="13"/>
      <c r="DLU481" s="13"/>
      <c r="DLV481" s="13"/>
      <c r="DLW481" s="13"/>
      <c r="DLX481" s="13"/>
      <c r="DLY481" s="13"/>
      <c r="DLZ481" s="13"/>
      <c r="DMA481" s="13"/>
      <c r="DMB481" s="13"/>
      <c r="DMC481" s="13"/>
      <c r="DMD481" s="13"/>
      <c r="DME481" s="13"/>
      <c r="DMF481" s="13"/>
      <c r="DMG481" s="13"/>
      <c r="DMH481" s="13"/>
      <c r="DMI481" s="13"/>
      <c r="DMJ481" s="13"/>
      <c r="DMK481" s="13"/>
      <c r="DML481" s="13"/>
      <c r="DMM481" s="13"/>
      <c r="DMN481" s="13"/>
      <c r="DMO481" s="13"/>
      <c r="DMP481" s="13"/>
      <c r="DMQ481" s="13"/>
      <c r="DMR481" s="13"/>
      <c r="DMS481" s="13"/>
      <c r="DMT481" s="13"/>
      <c r="DMU481" s="13"/>
      <c r="DMV481" s="13"/>
      <c r="DMW481" s="13"/>
      <c r="DMX481" s="13"/>
      <c r="DMY481" s="13"/>
      <c r="DMZ481" s="13"/>
      <c r="DNA481" s="13"/>
      <c r="DNB481" s="13"/>
      <c r="DNC481" s="13"/>
      <c r="DND481" s="13"/>
      <c r="DNE481" s="13"/>
      <c r="DNF481" s="13"/>
      <c r="DNG481" s="13"/>
      <c r="DNH481" s="13"/>
      <c r="DNI481" s="13"/>
      <c r="DNJ481" s="13"/>
      <c r="DNK481" s="13"/>
      <c r="DNL481" s="13"/>
      <c r="DNM481" s="13"/>
      <c r="DNN481" s="13"/>
      <c r="DNO481" s="13"/>
      <c r="DNP481" s="13"/>
      <c r="DNQ481" s="13"/>
      <c r="DNR481" s="13"/>
      <c r="DNS481" s="13"/>
      <c r="DNT481" s="13"/>
      <c r="DNU481" s="13"/>
      <c r="DNV481" s="13"/>
      <c r="DNW481" s="13"/>
      <c r="DNX481" s="13"/>
      <c r="DNY481" s="13"/>
      <c r="DNZ481" s="13"/>
      <c r="DOA481" s="13"/>
      <c r="DOB481" s="13"/>
      <c r="DOC481" s="13"/>
      <c r="DOD481" s="13"/>
      <c r="DOE481" s="13"/>
      <c r="DOF481" s="13"/>
      <c r="DOG481" s="13"/>
      <c r="DOH481" s="13"/>
      <c r="DOI481" s="13"/>
      <c r="DOJ481" s="13"/>
      <c r="DOK481" s="13"/>
      <c r="DOL481" s="13"/>
      <c r="DOM481" s="13"/>
      <c r="DON481" s="13"/>
      <c r="DOO481" s="13"/>
      <c r="DOP481" s="13"/>
      <c r="DOQ481" s="13"/>
      <c r="DOR481" s="13"/>
      <c r="DOS481" s="13"/>
      <c r="DOT481" s="13"/>
      <c r="DOU481" s="13"/>
      <c r="DOV481" s="13"/>
      <c r="DOW481" s="13"/>
      <c r="DOX481" s="13"/>
      <c r="DOY481" s="13"/>
      <c r="DOZ481" s="13"/>
      <c r="DPA481" s="13"/>
      <c r="DPB481" s="13"/>
      <c r="DPC481" s="13"/>
      <c r="DPD481" s="13"/>
      <c r="DPE481" s="13"/>
      <c r="DPF481" s="13"/>
      <c r="DPG481" s="13"/>
      <c r="DPH481" s="13"/>
      <c r="DPI481" s="13"/>
      <c r="DPJ481" s="13"/>
      <c r="DPK481" s="13"/>
      <c r="DPL481" s="13"/>
      <c r="DPM481" s="13"/>
      <c r="DPN481" s="13"/>
      <c r="DPO481" s="13"/>
      <c r="DPP481" s="13"/>
      <c r="DPQ481" s="13"/>
      <c r="DPR481" s="13"/>
      <c r="DPS481" s="13"/>
      <c r="DPT481" s="13"/>
      <c r="DPU481" s="13"/>
      <c r="DPV481" s="13"/>
      <c r="DPW481" s="13"/>
      <c r="DPX481" s="13"/>
      <c r="DPY481" s="13"/>
      <c r="DPZ481" s="13"/>
      <c r="DQA481" s="13"/>
      <c r="DQB481" s="13"/>
      <c r="DQC481" s="13"/>
      <c r="DQD481" s="13"/>
      <c r="DQE481" s="13"/>
      <c r="DQF481" s="13"/>
      <c r="DQG481" s="13"/>
      <c r="DQH481" s="13"/>
      <c r="DQI481" s="13"/>
      <c r="DQJ481" s="13"/>
      <c r="DQK481" s="13"/>
      <c r="DQL481" s="13"/>
      <c r="DQM481" s="13"/>
      <c r="DQN481" s="13"/>
      <c r="DQO481" s="13"/>
      <c r="DQP481" s="13"/>
      <c r="DQQ481" s="13"/>
      <c r="DQR481" s="13"/>
      <c r="DQS481" s="13"/>
      <c r="DQT481" s="13"/>
      <c r="DQU481" s="13"/>
      <c r="DQV481" s="13"/>
      <c r="DQW481" s="13"/>
      <c r="DQX481" s="13"/>
      <c r="DQY481" s="13"/>
      <c r="DQZ481" s="13"/>
      <c r="DRA481" s="13"/>
      <c r="DRB481" s="13"/>
      <c r="DRC481" s="13"/>
      <c r="DRD481" s="13"/>
      <c r="DRE481" s="13"/>
      <c r="DRF481" s="13"/>
      <c r="DRG481" s="13"/>
      <c r="DRH481" s="13"/>
      <c r="DRI481" s="13"/>
      <c r="DRJ481" s="13"/>
      <c r="DRK481" s="13"/>
      <c r="DRL481" s="13"/>
      <c r="DRM481" s="13"/>
      <c r="DRN481" s="13"/>
      <c r="DRO481" s="13"/>
      <c r="DRP481" s="13"/>
      <c r="DRQ481" s="13"/>
      <c r="DRR481" s="13"/>
      <c r="DRS481" s="13"/>
      <c r="DRT481" s="13"/>
      <c r="DRU481" s="13"/>
      <c r="DRV481" s="13"/>
      <c r="DRW481" s="13"/>
      <c r="DRX481" s="13"/>
      <c r="DRY481" s="13"/>
      <c r="DRZ481" s="13"/>
      <c r="DSA481" s="13"/>
      <c r="DSB481" s="13"/>
      <c r="DSC481" s="13"/>
      <c r="DSD481" s="13"/>
      <c r="DSE481" s="13"/>
      <c r="DSF481" s="13"/>
      <c r="DSG481" s="13"/>
      <c r="DSH481" s="13"/>
      <c r="DSI481" s="13"/>
      <c r="DSJ481" s="13"/>
      <c r="DSK481" s="13"/>
      <c r="DSL481" s="13"/>
      <c r="DSM481" s="13"/>
      <c r="DSN481" s="13"/>
      <c r="DSO481" s="13"/>
      <c r="DSP481" s="13"/>
      <c r="DSQ481" s="13"/>
      <c r="DSR481" s="13"/>
      <c r="DSS481" s="13"/>
      <c r="DST481" s="13"/>
      <c r="DSU481" s="13"/>
      <c r="DSV481" s="13"/>
      <c r="DSW481" s="13"/>
      <c r="DSX481" s="13"/>
      <c r="DSY481" s="13"/>
      <c r="DSZ481" s="13"/>
      <c r="DTA481" s="13"/>
      <c r="DTB481" s="13"/>
      <c r="DTC481" s="13"/>
      <c r="DTD481" s="13"/>
      <c r="DTE481" s="13"/>
      <c r="DTF481" s="13"/>
      <c r="DTG481" s="13"/>
      <c r="DTH481" s="13"/>
      <c r="DTI481" s="13"/>
      <c r="DTJ481" s="13"/>
      <c r="DTK481" s="13"/>
      <c r="DTL481" s="13"/>
      <c r="DTM481" s="13"/>
      <c r="DTN481" s="13"/>
      <c r="DTO481" s="13"/>
      <c r="DTP481" s="13"/>
      <c r="DTQ481" s="13"/>
      <c r="DTR481" s="13"/>
      <c r="DTS481" s="13"/>
      <c r="DTT481" s="13"/>
      <c r="DTU481" s="13"/>
      <c r="DTV481" s="13"/>
      <c r="DTW481" s="13"/>
      <c r="DTX481" s="13"/>
      <c r="DTY481" s="13"/>
      <c r="DTZ481" s="13"/>
      <c r="DUA481" s="13"/>
      <c r="DUB481" s="13"/>
      <c r="DUC481" s="13"/>
      <c r="DUD481" s="13"/>
      <c r="DUE481" s="13"/>
      <c r="DUF481" s="13"/>
      <c r="DUG481" s="13"/>
      <c r="DUH481" s="13"/>
      <c r="DUI481" s="13"/>
      <c r="DUJ481" s="13"/>
      <c r="DUK481" s="13"/>
      <c r="DUL481" s="13"/>
      <c r="DUM481" s="13"/>
      <c r="DUN481" s="13"/>
      <c r="DUO481" s="13"/>
      <c r="DUP481" s="13"/>
      <c r="DUQ481" s="13"/>
      <c r="DUR481" s="13"/>
      <c r="DUS481" s="13"/>
      <c r="DUT481" s="13"/>
      <c r="DUU481" s="13"/>
      <c r="DUV481" s="13"/>
      <c r="DUW481" s="13"/>
      <c r="DUX481" s="13"/>
      <c r="DUY481" s="13"/>
      <c r="DUZ481" s="13"/>
      <c r="DVA481" s="13"/>
      <c r="DVB481" s="13"/>
      <c r="DVC481" s="13"/>
      <c r="DVD481" s="13"/>
      <c r="DVE481" s="13"/>
      <c r="DVF481" s="13"/>
      <c r="DVG481" s="13"/>
      <c r="DVH481" s="13"/>
      <c r="DVI481" s="13"/>
      <c r="DVJ481" s="13"/>
      <c r="DVK481" s="13"/>
      <c r="DVL481" s="13"/>
      <c r="DVM481" s="13"/>
      <c r="DVN481" s="13"/>
      <c r="DVO481" s="13"/>
      <c r="DVP481" s="13"/>
      <c r="DVQ481" s="13"/>
      <c r="DVR481" s="13"/>
      <c r="DVS481" s="13"/>
      <c r="DVT481" s="13"/>
      <c r="DVU481" s="13"/>
      <c r="DVV481" s="13"/>
      <c r="DVW481" s="13"/>
      <c r="DVX481" s="13"/>
      <c r="DVY481" s="13"/>
      <c r="DVZ481" s="13"/>
      <c r="DWA481" s="13"/>
      <c r="DWB481" s="13"/>
      <c r="DWC481" s="13"/>
      <c r="DWD481" s="13"/>
      <c r="DWE481" s="13"/>
      <c r="DWF481" s="13"/>
      <c r="DWG481" s="13"/>
      <c r="DWH481" s="13"/>
      <c r="DWI481" s="13"/>
      <c r="DWJ481" s="13"/>
      <c r="DWK481" s="13"/>
      <c r="DWL481" s="13"/>
      <c r="DWM481" s="13"/>
      <c r="DWN481" s="13"/>
      <c r="DWO481" s="13"/>
      <c r="DWP481" s="13"/>
      <c r="DWQ481" s="13"/>
      <c r="DWR481" s="13"/>
      <c r="DWS481" s="13"/>
      <c r="DWT481" s="13"/>
      <c r="DWU481" s="13"/>
      <c r="DWV481" s="13"/>
      <c r="DWW481" s="13"/>
      <c r="DWX481" s="13"/>
      <c r="DWY481" s="13"/>
      <c r="DWZ481" s="13"/>
      <c r="DXA481" s="13"/>
      <c r="DXB481" s="13"/>
      <c r="DXC481" s="13"/>
      <c r="DXD481" s="13"/>
      <c r="DXE481" s="13"/>
      <c r="DXF481" s="13"/>
      <c r="DXG481" s="13"/>
      <c r="DXH481" s="13"/>
      <c r="DXI481" s="13"/>
      <c r="DXJ481" s="13"/>
      <c r="DXK481" s="13"/>
      <c r="DXL481" s="13"/>
      <c r="DXM481" s="13"/>
      <c r="DXN481" s="13"/>
      <c r="DXO481" s="13"/>
      <c r="DXP481" s="13"/>
      <c r="DXQ481" s="13"/>
      <c r="DXR481" s="13"/>
      <c r="DXS481" s="13"/>
      <c r="DXT481" s="13"/>
      <c r="DXU481" s="13"/>
      <c r="DXV481" s="13"/>
      <c r="DXW481" s="13"/>
      <c r="DXX481" s="13"/>
      <c r="DXY481" s="13"/>
      <c r="DXZ481" s="13"/>
      <c r="DYA481" s="13"/>
      <c r="DYB481" s="13"/>
      <c r="DYC481" s="13"/>
      <c r="DYD481" s="13"/>
      <c r="DYE481" s="13"/>
      <c r="DYF481" s="13"/>
      <c r="DYG481" s="13"/>
      <c r="DYH481" s="13"/>
      <c r="DYI481" s="13"/>
      <c r="DYJ481" s="13"/>
      <c r="DYK481" s="13"/>
      <c r="DYL481" s="13"/>
      <c r="DYM481" s="13"/>
      <c r="DYN481" s="13"/>
      <c r="DYO481" s="13"/>
      <c r="DYP481" s="13"/>
      <c r="DYQ481" s="13"/>
      <c r="DYR481" s="13"/>
      <c r="DYS481" s="13"/>
      <c r="DYT481" s="13"/>
      <c r="DYU481" s="13"/>
      <c r="DYV481" s="13"/>
      <c r="DYW481" s="13"/>
      <c r="DYX481" s="13"/>
      <c r="DYY481" s="13"/>
      <c r="DYZ481" s="13"/>
      <c r="DZA481" s="13"/>
      <c r="DZB481" s="13"/>
      <c r="DZC481" s="13"/>
      <c r="DZD481" s="13"/>
      <c r="DZE481" s="13"/>
      <c r="DZF481" s="13"/>
      <c r="DZG481" s="13"/>
      <c r="DZH481" s="13"/>
      <c r="DZI481" s="13"/>
      <c r="DZJ481" s="13"/>
      <c r="DZK481" s="13"/>
      <c r="DZL481" s="13"/>
      <c r="DZM481" s="13"/>
      <c r="DZN481" s="13"/>
      <c r="DZO481" s="13"/>
      <c r="DZP481" s="13"/>
      <c r="DZQ481" s="13"/>
      <c r="DZR481" s="13"/>
      <c r="DZS481" s="13"/>
      <c r="DZT481" s="13"/>
      <c r="DZU481" s="13"/>
      <c r="DZV481" s="13"/>
      <c r="DZW481" s="13"/>
      <c r="DZX481" s="13"/>
      <c r="DZY481" s="13"/>
      <c r="DZZ481" s="13"/>
      <c r="EAA481" s="13"/>
      <c r="EAB481" s="13"/>
      <c r="EAC481" s="13"/>
      <c r="EAD481" s="13"/>
      <c r="EAE481" s="13"/>
      <c r="EAF481" s="13"/>
      <c r="EAG481" s="13"/>
      <c r="EAH481" s="13"/>
      <c r="EAI481" s="13"/>
      <c r="EAJ481" s="13"/>
      <c r="EAK481" s="13"/>
      <c r="EAL481" s="13"/>
      <c r="EAM481" s="13"/>
      <c r="EAN481" s="13"/>
      <c r="EAO481" s="13"/>
      <c r="EAP481" s="13"/>
      <c r="EAQ481" s="13"/>
      <c r="EAR481" s="13"/>
      <c r="EAS481" s="13"/>
      <c r="EAT481" s="13"/>
      <c r="EAU481" s="13"/>
      <c r="EAV481" s="13"/>
      <c r="EAW481" s="13"/>
      <c r="EAX481" s="13"/>
      <c r="EAY481" s="13"/>
      <c r="EAZ481" s="13"/>
      <c r="EBA481" s="13"/>
      <c r="EBB481" s="13"/>
      <c r="EBC481" s="13"/>
      <c r="EBD481" s="13"/>
      <c r="EBE481" s="13"/>
      <c r="EBF481" s="13"/>
      <c r="EBG481" s="13"/>
      <c r="EBH481" s="13"/>
      <c r="EBI481" s="13"/>
      <c r="EBJ481" s="13"/>
      <c r="EBK481" s="13"/>
      <c r="EBL481" s="13"/>
      <c r="EBM481" s="13"/>
      <c r="EBN481" s="13"/>
      <c r="EBO481" s="13"/>
      <c r="EBP481" s="13"/>
      <c r="EBQ481" s="13"/>
      <c r="EBR481" s="13"/>
      <c r="EBS481" s="13"/>
      <c r="EBT481" s="13"/>
      <c r="EBU481" s="13"/>
      <c r="EBV481" s="13"/>
      <c r="EBW481" s="13"/>
      <c r="EBX481" s="13"/>
      <c r="EBY481" s="13"/>
      <c r="EBZ481" s="13"/>
      <c r="ECA481" s="13"/>
      <c r="ECB481" s="13"/>
      <c r="ECC481" s="13"/>
      <c r="ECD481" s="13"/>
      <c r="ECE481" s="13"/>
      <c r="ECF481" s="13"/>
      <c r="ECG481" s="13"/>
      <c r="ECH481" s="13"/>
      <c r="ECI481" s="13"/>
      <c r="ECJ481" s="13"/>
      <c r="ECK481" s="13"/>
      <c r="ECL481" s="13"/>
      <c r="ECM481" s="13"/>
      <c r="ECN481" s="13"/>
      <c r="ECO481" s="13"/>
      <c r="ECP481" s="13"/>
      <c r="ECQ481" s="13"/>
      <c r="ECR481" s="13"/>
      <c r="ECS481" s="13"/>
      <c r="ECT481" s="13"/>
      <c r="ECU481" s="13"/>
      <c r="ECV481" s="13"/>
      <c r="ECW481" s="13"/>
      <c r="ECX481" s="13"/>
      <c r="ECY481" s="13"/>
      <c r="ECZ481" s="13"/>
      <c r="EDA481" s="13"/>
      <c r="EDB481" s="13"/>
      <c r="EDC481" s="13"/>
      <c r="EDD481" s="13"/>
      <c r="EDE481" s="13"/>
      <c r="EDF481" s="13"/>
      <c r="EDG481" s="13"/>
      <c r="EDH481" s="13"/>
      <c r="EDI481" s="13"/>
      <c r="EDJ481" s="13"/>
      <c r="EDK481" s="13"/>
      <c r="EDL481" s="13"/>
      <c r="EDM481" s="13"/>
      <c r="EDN481" s="13"/>
      <c r="EDO481" s="13"/>
      <c r="EDP481" s="13"/>
      <c r="EDQ481" s="13"/>
      <c r="EDR481" s="13"/>
      <c r="EDS481" s="13"/>
      <c r="EDT481" s="13"/>
      <c r="EDU481" s="13"/>
      <c r="EDV481" s="13"/>
      <c r="EDW481" s="13"/>
      <c r="EDX481" s="13"/>
      <c r="EDY481" s="13"/>
      <c r="EDZ481" s="13"/>
      <c r="EEA481" s="13"/>
      <c r="EEB481" s="13"/>
      <c r="EEC481" s="13"/>
      <c r="EED481" s="13"/>
      <c r="EEE481" s="13"/>
      <c r="EEF481" s="13"/>
      <c r="EEG481" s="13"/>
      <c r="EEH481" s="13"/>
      <c r="EEI481" s="13"/>
      <c r="EEJ481" s="13"/>
      <c r="EEK481" s="13"/>
      <c r="EEL481" s="13"/>
      <c r="EEM481" s="13"/>
      <c r="EEN481" s="13"/>
      <c r="EEO481" s="13"/>
      <c r="EEP481" s="13"/>
      <c r="EEQ481" s="13"/>
      <c r="EER481" s="13"/>
      <c r="EES481" s="13"/>
      <c r="EET481" s="13"/>
      <c r="EEU481" s="13"/>
      <c r="EEV481" s="13"/>
      <c r="EEW481" s="13"/>
      <c r="EEX481" s="13"/>
      <c r="EEY481" s="13"/>
      <c r="EEZ481" s="13"/>
      <c r="EFA481" s="13"/>
      <c r="EFB481" s="13"/>
      <c r="EFC481" s="13"/>
      <c r="EFD481" s="13"/>
      <c r="EFE481" s="13"/>
      <c r="EFF481" s="13"/>
      <c r="EFG481" s="13"/>
      <c r="EFH481" s="13"/>
      <c r="EFI481" s="13"/>
      <c r="EFJ481" s="13"/>
      <c r="EFK481" s="13"/>
      <c r="EFL481" s="13"/>
      <c r="EFM481" s="13"/>
      <c r="EFN481" s="13"/>
      <c r="EFO481" s="13"/>
      <c r="EFP481" s="13"/>
      <c r="EFQ481" s="13"/>
      <c r="EFR481" s="13"/>
      <c r="EFS481" s="13"/>
      <c r="EFT481" s="13"/>
      <c r="EFU481" s="13"/>
      <c r="EFV481" s="13"/>
      <c r="EFW481" s="13"/>
      <c r="EFX481" s="13"/>
      <c r="EFY481" s="13"/>
      <c r="EFZ481" s="13"/>
      <c r="EGA481" s="13"/>
      <c r="EGB481" s="13"/>
      <c r="EGC481" s="13"/>
      <c r="EGD481" s="13"/>
      <c r="EGE481" s="13"/>
      <c r="EGF481" s="13"/>
      <c r="EGG481" s="13"/>
      <c r="EGH481" s="13"/>
      <c r="EGI481" s="13"/>
      <c r="EGJ481" s="13"/>
      <c r="EGK481" s="13"/>
      <c r="EGL481" s="13"/>
      <c r="EGM481" s="13"/>
      <c r="EGN481" s="13"/>
      <c r="EGO481" s="13"/>
      <c r="EGP481" s="13"/>
      <c r="EGQ481" s="13"/>
      <c r="EGR481" s="13"/>
      <c r="EGS481" s="13"/>
      <c r="EGT481" s="13"/>
      <c r="EGU481" s="13"/>
      <c r="EGV481" s="13"/>
      <c r="EGW481" s="13"/>
      <c r="EGX481" s="13"/>
      <c r="EGY481" s="13"/>
      <c r="EGZ481" s="13"/>
      <c r="EHA481" s="13"/>
      <c r="EHB481" s="13"/>
      <c r="EHC481" s="13"/>
      <c r="EHD481" s="13"/>
      <c r="EHE481" s="13"/>
      <c r="EHF481" s="13"/>
      <c r="EHG481" s="13"/>
      <c r="EHH481" s="13"/>
      <c r="EHI481" s="13"/>
      <c r="EHJ481" s="13"/>
      <c r="EHK481" s="13"/>
      <c r="EHL481" s="13"/>
      <c r="EHM481" s="13"/>
      <c r="EHN481" s="13"/>
      <c r="EHO481" s="13"/>
      <c r="EHP481" s="13"/>
      <c r="EHQ481" s="13"/>
      <c r="EHR481" s="13"/>
      <c r="EHS481" s="13"/>
      <c r="EHT481" s="13"/>
      <c r="EHU481" s="13"/>
      <c r="EHV481" s="13"/>
      <c r="EHW481" s="13"/>
      <c r="EHX481" s="13"/>
      <c r="EHY481" s="13"/>
      <c r="EHZ481" s="13"/>
      <c r="EIA481" s="13"/>
      <c r="EIB481" s="13"/>
      <c r="EIC481" s="13"/>
      <c r="EID481" s="13"/>
      <c r="EIE481" s="13"/>
      <c r="EIF481" s="13"/>
      <c r="EIG481" s="13"/>
      <c r="EIH481" s="13"/>
      <c r="EII481" s="13"/>
      <c r="EIJ481" s="13"/>
      <c r="EIK481" s="13"/>
      <c r="EIL481" s="13"/>
      <c r="EIM481" s="13"/>
      <c r="EIN481" s="13"/>
      <c r="EIO481" s="13"/>
      <c r="EIP481" s="13"/>
      <c r="EIQ481" s="13"/>
      <c r="EIR481" s="13"/>
      <c r="EIS481" s="13"/>
      <c r="EIT481" s="13"/>
      <c r="EIU481" s="13"/>
      <c r="EIV481" s="13"/>
      <c r="EIW481" s="13"/>
      <c r="EIX481" s="13"/>
      <c r="EIY481" s="13"/>
      <c r="EIZ481" s="13"/>
      <c r="EJA481" s="13"/>
      <c r="EJB481" s="13"/>
      <c r="EJC481" s="13"/>
      <c r="EJD481" s="13"/>
      <c r="EJE481" s="13"/>
      <c r="EJF481" s="13"/>
      <c r="EJG481" s="13"/>
      <c r="EJH481" s="13"/>
      <c r="EJI481" s="13"/>
      <c r="EJJ481" s="13"/>
      <c r="EJK481" s="13"/>
      <c r="EJL481" s="13"/>
      <c r="EJM481" s="13"/>
      <c r="EJN481" s="13"/>
      <c r="EJO481" s="13"/>
      <c r="EJP481" s="13"/>
      <c r="EJQ481" s="13"/>
      <c r="EJR481" s="13"/>
      <c r="EJS481" s="13"/>
      <c r="EJT481" s="13"/>
      <c r="EJU481" s="13"/>
      <c r="EJV481" s="13"/>
      <c r="EJW481" s="13"/>
      <c r="EJX481" s="13"/>
      <c r="EJY481" s="13"/>
      <c r="EJZ481" s="13"/>
      <c r="EKA481" s="13"/>
      <c r="EKB481" s="13"/>
      <c r="EKC481" s="13"/>
      <c r="EKD481" s="13"/>
      <c r="EKE481" s="13"/>
      <c r="EKF481" s="13"/>
      <c r="EKG481" s="13"/>
      <c r="EKH481" s="13"/>
      <c r="EKI481" s="13"/>
      <c r="EKJ481" s="13"/>
      <c r="EKK481" s="13"/>
      <c r="EKL481" s="13"/>
      <c r="EKM481" s="13"/>
      <c r="EKN481" s="13"/>
      <c r="EKO481" s="13"/>
      <c r="EKP481" s="13"/>
      <c r="EKQ481" s="13"/>
      <c r="EKR481" s="13"/>
      <c r="EKS481" s="13"/>
      <c r="EKT481" s="13"/>
      <c r="EKU481" s="13"/>
      <c r="EKV481" s="13"/>
      <c r="EKW481" s="13"/>
      <c r="EKX481" s="13"/>
      <c r="EKY481" s="13"/>
      <c r="EKZ481" s="13"/>
      <c r="ELA481" s="13"/>
      <c r="ELB481" s="13"/>
      <c r="ELC481" s="13"/>
      <c r="ELD481" s="13"/>
      <c r="ELE481" s="13"/>
      <c r="ELF481" s="13"/>
      <c r="ELG481" s="13"/>
      <c r="ELH481" s="13"/>
      <c r="ELI481" s="13"/>
      <c r="ELJ481" s="13"/>
      <c r="ELK481" s="13"/>
      <c r="ELL481" s="13"/>
      <c r="ELM481" s="13"/>
      <c r="ELN481" s="13"/>
      <c r="ELO481" s="13"/>
      <c r="ELP481" s="13"/>
      <c r="ELQ481" s="13"/>
      <c r="ELR481" s="13"/>
      <c r="ELS481" s="13"/>
      <c r="ELT481" s="13"/>
      <c r="ELU481" s="13"/>
      <c r="ELV481" s="13"/>
      <c r="ELW481" s="13"/>
      <c r="ELX481" s="13"/>
      <c r="ELY481" s="13"/>
      <c r="ELZ481" s="13"/>
      <c r="EMA481" s="13"/>
      <c r="EMB481" s="13"/>
      <c r="EMC481" s="13"/>
      <c r="EMD481" s="13"/>
      <c r="EME481" s="13"/>
      <c r="EMF481" s="13"/>
      <c r="EMG481" s="13"/>
      <c r="EMH481" s="13"/>
      <c r="EMI481" s="13"/>
      <c r="EMJ481" s="13"/>
      <c r="EMK481" s="13"/>
      <c r="EML481" s="13"/>
      <c r="EMM481" s="13"/>
      <c r="EMN481" s="13"/>
      <c r="EMO481" s="13"/>
      <c r="EMP481" s="13"/>
      <c r="EMQ481" s="13"/>
      <c r="EMR481" s="13"/>
      <c r="EMS481" s="13"/>
      <c r="EMT481" s="13"/>
      <c r="EMU481" s="13"/>
      <c r="EMV481" s="13"/>
      <c r="EMW481" s="13"/>
      <c r="EMX481" s="13"/>
      <c r="EMY481" s="13"/>
      <c r="EMZ481" s="13"/>
      <c r="ENA481" s="13"/>
      <c r="ENB481" s="13"/>
      <c r="ENC481" s="13"/>
      <c r="END481" s="13"/>
      <c r="ENE481" s="13"/>
      <c r="ENF481" s="13"/>
      <c r="ENG481" s="13"/>
      <c r="ENH481" s="13"/>
      <c r="ENI481" s="13"/>
      <c r="ENJ481" s="13"/>
      <c r="ENK481" s="13"/>
      <c r="ENL481" s="13"/>
      <c r="ENM481" s="13"/>
      <c r="ENN481" s="13"/>
      <c r="ENO481" s="13"/>
      <c r="ENP481" s="13"/>
      <c r="ENQ481" s="13"/>
      <c r="ENR481" s="13"/>
      <c r="ENS481" s="13"/>
      <c r="ENT481" s="13"/>
      <c r="ENU481" s="13"/>
      <c r="ENV481" s="13"/>
      <c r="ENW481" s="13"/>
      <c r="ENX481" s="13"/>
      <c r="ENY481" s="13"/>
      <c r="ENZ481" s="13"/>
      <c r="EOA481" s="13"/>
      <c r="EOB481" s="13"/>
      <c r="EOC481" s="13"/>
      <c r="EOD481" s="13"/>
      <c r="EOE481" s="13"/>
      <c r="EOF481" s="13"/>
      <c r="EOG481" s="13"/>
      <c r="EOH481" s="13"/>
      <c r="EOI481" s="13"/>
      <c r="EOJ481" s="13"/>
      <c r="EOK481" s="13"/>
      <c r="EOL481" s="13"/>
      <c r="EOM481" s="13"/>
      <c r="EON481" s="13"/>
      <c r="EOO481" s="13"/>
      <c r="EOP481" s="13"/>
      <c r="EOQ481" s="13"/>
      <c r="EOR481" s="13"/>
      <c r="EOS481" s="13"/>
      <c r="EOT481" s="13"/>
      <c r="EOU481" s="13"/>
      <c r="EOV481" s="13"/>
      <c r="EOW481" s="13"/>
      <c r="EOX481" s="13"/>
      <c r="EOY481" s="13"/>
      <c r="EOZ481" s="13"/>
      <c r="EPA481" s="13"/>
      <c r="EPB481" s="13"/>
      <c r="EPC481" s="13"/>
      <c r="EPD481" s="13"/>
      <c r="EPE481" s="13"/>
      <c r="EPF481" s="13"/>
      <c r="EPG481" s="13"/>
      <c r="EPH481" s="13"/>
      <c r="EPI481" s="13"/>
      <c r="EPJ481" s="13"/>
      <c r="EPK481" s="13"/>
      <c r="EPL481" s="13"/>
      <c r="EPM481" s="13"/>
      <c r="EPN481" s="13"/>
      <c r="EPO481" s="13"/>
      <c r="EPP481" s="13"/>
      <c r="EPQ481" s="13"/>
      <c r="EPR481" s="13"/>
      <c r="EPS481" s="13"/>
      <c r="EPT481" s="13"/>
      <c r="EPU481" s="13"/>
      <c r="EPV481" s="13"/>
      <c r="EPW481" s="13"/>
      <c r="EPX481" s="13"/>
      <c r="EPY481" s="13"/>
      <c r="EPZ481" s="13"/>
      <c r="EQA481" s="13"/>
      <c r="EQB481" s="13"/>
      <c r="EQC481" s="13"/>
      <c r="EQD481" s="13"/>
      <c r="EQE481" s="13"/>
      <c r="EQF481" s="13"/>
      <c r="EQG481" s="13"/>
      <c r="EQH481" s="13"/>
      <c r="EQI481" s="13"/>
      <c r="EQJ481" s="13"/>
      <c r="EQK481" s="13"/>
      <c r="EQL481" s="13"/>
      <c r="EQM481" s="13"/>
      <c r="EQN481" s="13"/>
      <c r="EQO481" s="13"/>
      <c r="EQP481" s="13"/>
      <c r="EQQ481" s="13"/>
      <c r="EQR481" s="13"/>
      <c r="EQS481" s="13"/>
      <c r="EQT481" s="13"/>
      <c r="EQU481" s="13"/>
      <c r="EQV481" s="13"/>
      <c r="EQW481" s="13"/>
      <c r="EQX481" s="13"/>
      <c r="EQY481" s="13"/>
      <c r="EQZ481" s="13"/>
      <c r="ERA481" s="13"/>
      <c r="ERB481" s="13"/>
      <c r="ERC481" s="13"/>
      <c r="ERD481" s="13"/>
      <c r="ERE481" s="13"/>
      <c r="ERF481" s="13"/>
      <c r="ERG481" s="13"/>
      <c r="ERH481" s="13"/>
      <c r="ERI481" s="13"/>
      <c r="ERJ481" s="13"/>
      <c r="ERK481" s="13"/>
      <c r="ERL481" s="13"/>
      <c r="ERM481" s="13"/>
      <c r="ERN481" s="13"/>
      <c r="ERO481" s="13"/>
      <c r="ERP481" s="13"/>
      <c r="ERQ481" s="13"/>
      <c r="ERR481" s="13"/>
      <c r="ERS481" s="13"/>
      <c r="ERT481" s="13"/>
      <c r="ERU481" s="13"/>
      <c r="ERV481" s="13"/>
      <c r="ERW481" s="13"/>
      <c r="ERX481" s="13"/>
      <c r="ERY481" s="13"/>
      <c r="ERZ481" s="13"/>
      <c r="ESA481" s="13"/>
      <c r="ESB481" s="13"/>
      <c r="ESC481" s="13"/>
      <c r="ESD481" s="13"/>
      <c r="ESE481" s="13"/>
      <c r="ESF481" s="13"/>
      <c r="ESG481" s="13"/>
      <c r="ESH481" s="13"/>
      <c r="ESI481" s="13"/>
      <c r="ESJ481" s="13"/>
      <c r="ESK481" s="13"/>
      <c r="ESL481" s="13"/>
      <c r="ESM481" s="13"/>
      <c r="ESN481" s="13"/>
      <c r="ESO481" s="13"/>
      <c r="ESP481" s="13"/>
      <c r="ESQ481" s="13"/>
      <c r="ESR481" s="13"/>
      <c r="ESS481" s="13"/>
      <c r="EST481" s="13"/>
      <c r="ESU481" s="13"/>
      <c r="ESV481" s="13"/>
      <c r="ESW481" s="13"/>
      <c r="ESX481" s="13"/>
      <c r="ESY481" s="13"/>
      <c r="ESZ481" s="13"/>
      <c r="ETA481" s="13"/>
      <c r="ETB481" s="13"/>
      <c r="ETC481" s="13"/>
      <c r="ETD481" s="13"/>
      <c r="ETE481" s="13"/>
      <c r="ETF481" s="13"/>
      <c r="ETG481" s="13"/>
      <c r="ETH481" s="13"/>
      <c r="ETI481" s="13"/>
      <c r="ETJ481" s="13"/>
      <c r="ETK481" s="13"/>
      <c r="ETL481" s="13"/>
      <c r="ETM481" s="13"/>
      <c r="ETN481" s="13"/>
      <c r="ETO481" s="13"/>
      <c r="ETP481" s="13"/>
      <c r="ETQ481" s="13"/>
      <c r="ETR481" s="13"/>
      <c r="ETS481" s="13"/>
      <c r="ETT481" s="13"/>
      <c r="ETU481" s="13"/>
      <c r="ETV481" s="13"/>
      <c r="ETW481" s="13"/>
      <c r="ETX481" s="13"/>
      <c r="ETY481" s="13"/>
      <c r="ETZ481" s="13"/>
      <c r="EUA481" s="13"/>
      <c r="EUB481" s="13"/>
      <c r="EUC481" s="13"/>
      <c r="EUD481" s="13"/>
      <c r="EUE481" s="13"/>
      <c r="EUF481" s="13"/>
      <c r="EUG481" s="13"/>
      <c r="EUH481" s="13"/>
      <c r="EUI481" s="13"/>
      <c r="EUJ481" s="13"/>
      <c r="EUK481" s="13"/>
      <c r="EUL481" s="13"/>
      <c r="EUM481" s="13"/>
      <c r="EUN481" s="13"/>
      <c r="EUO481" s="13"/>
      <c r="EUP481" s="13"/>
      <c r="EUQ481" s="13"/>
      <c r="EUR481" s="13"/>
      <c r="EUS481" s="13"/>
      <c r="EUT481" s="13"/>
      <c r="EUU481" s="13"/>
      <c r="EUV481" s="13"/>
      <c r="EUW481" s="13"/>
      <c r="EUX481" s="13"/>
      <c r="EUY481" s="13"/>
      <c r="EUZ481" s="13"/>
      <c r="EVA481" s="13"/>
      <c r="EVB481" s="13"/>
      <c r="EVC481" s="13"/>
      <c r="EVD481" s="13"/>
      <c r="EVE481" s="13"/>
      <c r="EVF481" s="13"/>
      <c r="EVG481" s="13"/>
      <c r="EVH481" s="13"/>
      <c r="EVI481" s="13"/>
      <c r="EVJ481" s="13"/>
      <c r="EVK481" s="13"/>
      <c r="EVL481" s="13"/>
      <c r="EVM481" s="13"/>
      <c r="EVN481" s="13"/>
      <c r="EVO481" s="13"/>
      <c r="EVP481" s="13"/>
      <c r="EVQ481" s="13"/>
      <c r="EVR481" s="13"/>
      <c r="EVS481" s="13"/>
      <c r="EVT481" s="13"/>
      <c r="EVU481" s="13"/>
      <c r="EVV481" s="13"/>
      <c r="EVW481" s="13"/>
      <c r="EVX481" s="13"/>
      <c r="EVY481" s="13"/>
      <c r="EVZ481" s="13"/>
      <c r="EWA481" s="13"/>
      <c r="EWB481" s="13"/>
      <c r="EWC481" s="13"/>
      <c r="EWD481" s="13"/>
      <c r="EWE481" s="13"/>
      <c r="EWF481" s="13"/>
      <c r="EWG481" s="13"/>
      <c r="EWH481" s="13"/>
      <c r="EWI481" s="13"/>
      <c r="EWJ481" s="13"/>
      <c r="EWK481" s="13"/>
      <c r="EWL481" s="13"/>
      <c r="EWM481" s="13"/>
      <c r="EWN481" s="13"/>
      <c r="EWO481" s="13"/>
      <c r="EWP481" s="13"/>
      <c r="EWQ481" s="13"/>
      <c r="EWR481" s="13"/>
      <c r="EWS481" s="13"/>
      <c r="EWT481" s="13"/>
      <c r="EWU481" s="13"/>
      <c r="EWV481" s="13"/>
      <c r="EWW481" s="13"/>
      <c r="EWX481" s="13"/>
      <c r="EWY481" s="13"/>
      <c r="EWZ481" s="13"/>
      <c r="EXA481" s="13"/>
      <c r="EXB481" s="13"/>
      <c r="EXC481" s="13"/>
      <c r="EXD481" s="13"/>
      <c r="EXE481" s="13"/>
      <c r="EXF481" s="13"/>
      <c r="EXG481" s="13"/>
      <c r="EXH481" s="13"/>
      <c r="EXI481" s="13"/>
      <c r="EXJ481" s="13"/>
      <c r="EXK481" s="13"/>
      <c r="EXL481" s="13"/>
      <c r="EXM481" s="13"/>
      <c r="EXN481" s="13"/>
      <c r="EXO481" s="13"/>
      <c r="EXP481" s="13"/>
      <c r="EXQ481" s="13"/>
      <c r="EXR481" s="13"/>
      <c r="EXS481" s="13"/>
      <c r="EXT481" s="13"/>
      <c r="EXU481" s="13"/>
      <c r="EXV481" s="13"/>
      <c r="EXW481" s="13"/>
      <c r="EXX481" s="13"/>
      <c r="EXY481" s="13"/>
      <c r="EXZ481" s="13"/>
      <c r="EYA481" s="13"/>
      <c r="EYB481" s="13"/>
      <c r="EYC481" s="13"/>
      <c r="EYD481" s="13"/>
      <c r="EYE481" s="13"/>
      <c r="EYF481" s="13"/>
      <c r="EYG481" s="13"/>
      <c r="EYH481" s="13"/>
      <c r="EYI481" s="13"/>
      <c r="EYJ481" s="13"/>
      <c r="EYK481" s="13"/>
      <c r="EYL481" s="13"/>
      <c r="EYM481" s="13"/>
      <c r="EYN481" s="13"/>
      <c r="EYO481" s="13"/>
      <c r="EYP481" s="13"/>
      <c r="EYQ481" s="13"/>
      <c r="EYR481" s="13"/>
      <c r="EYS481" s="13"/>
      <c r="EYT481" s="13"/>
      <c r="EYU481" s="13"/>
      <c r="EYV481" s="13"/>
      <c r="EYW481" s="13"/>
      <c r="EYX481" s="13"/>
      <c r="EYY481" s="13"/>
      <c r="EYZ481" s="13"/>
      <c r="EZA481" s="13"/>
      <c r="EZB481" s="13"/>
      <c r="EZC481" s="13"/>
      <c r="EZD481" s="13"/>
      <c r="EZE481" s="13"/>
      <c r="EZF481" s="13"/>
      <c r="EZG481" s="13"/>
      <c r="EZH481" s="13"/>
      <c r="EZI481" s="13"/>
      <c r="EZJ481" s="13"/>
      <c r="EZK481" s="13"/>
      <c r="EZL481" s="13"/>
      <c r="EZM481" s="13"/>
      <c r="EZN481" s="13"/>
      <c r="EZO481" s="13"/>
      <c r="EZP481" s="13"/>
      <c r="EZQ481" s="13"/>
      <c r="EZR481" s="13"/>
      <c r="EZS481" s="13"/>
      <c r="EZT481" s="13"/>
      <c r="EZU481" s="13"/>
      <c r="EZV481" s="13"/>
      <c r="EZW481" s="13"/>
      <c r="EZX481" s="13"/>
      <c r="EZY481" s="13"/>
      <c r="EZZ481" s="13"/>
      <c r="FAA481" s="13"/>
      <c r="FAB481" s="13"/>
      <c r="FAC481" s="13"/>
      <c r="FAD481" s="13"/>
      <c r="FAE481" s="13"/>
      <c r="FAF481" s="13"/>
      <c r="FAG481" s="13"/>
      <c r="FAH481" s="13"/>
      <c r="FAI481" s="13"/>
      <c r="FAJ481" s="13"/>
      <c r="FAK481" s="13"/>
      <c r="FAL481" s="13"/>
      <c r="FAM481" s="13"/>
      <c r="FAN481" s="13"/>
      <c r="FAO481" s="13"/>
      <c r="FAP481" s="13"/>
      <c r="FAQ481" s="13"/>
      <c r="FAR481" s="13"/>
      <c r="FAS481" s="13"/>
      <c r="FAT481" s="13"/>
      <c r="FAU481" s="13"/>
      <c r="FAV481" s="13"/>
      <c r="FAW481" s="13"/>
      <c r="FAX481" s="13"/>
      <c r="FAY481" s="13"/>
      <c r="FAZ481" s="13"/>
      <c r="FBA481" s="13"/>
      <c r="FBB481" s="13"/>
      <c r="FBC481" s="13"/>
      <c r="FBD481" s="13"/>
      <c r="FBE481" s="13"/>
      <c r="FBF481" s="13"/>
      <c r="FBG481" s="13"/>
      <c r="FBH481" s="13"/>
      <c r="FBI481" s="13"/>
      <c r="FBJ481" s="13"/>
      <c r="FBK481" s="13"/>
      <c r="FBL481" s="13"/>
      <c r="FBM481" s="13"/>
      <c r="FBN481" s="13"/>
      <c r="FBO481" s="13"/>
      <c r="FBP481" s="13"/>
      <c r="FBQ481" s="13"/>
      <c r="FBR481" s="13"/>
      <c r="FBS481" s="13"/>
      <c r="FBT481" s="13"/>
      <c r="FBU481" s="13"/>
      <c r="FBV481" s="13"/>
      <c r="FBW481" s="13"/>
      <c r="FBX481" s="13"/>
      <c r="FBY481" s="13"/>
      <c r="FBZ481" s="13"/>
      <c r="FCA481" s="13"/>
      <c r="FCB481" s="13"/>
      <c r="FCC481" s="13"/>
      <c r="FCD481" s="13"/>
      <c r="FCE481" s="13"/>
      <c r="FCF481" s="13"/>
      <c r="FCG481" s="13"/>
      <c r="FCH481" s="13"/>
      <c r="FCI481" s="13"/>
      <c r="FCJ481" s="13"/>
      <c r="FCK481" s="13"/>
      <c r="FCL481" s="13"/>
      <c r="FCM481" s="13"/>
      <c r="FCN481" s="13"/>
      <c r="FCO481" s="13"/>
      <c r="FCP481" s="13"/>
      <c r="FCQ481" s="13"/>
      <c r="FCR481" s="13"/>
      <c r="FCS481" s="13"/>
      <c r="FCT481" s="13"/>
      <c r="FCU481" s="13"/>
      <c r="FCV481" s="13"/>
      <c r="FCW481" s="13"/>
      <c r="FCX481" s="13"/>
      <c r="FCY481" s="13"/>
      <c r="FCZ481" s="13"/>
      <c r="FDA481" s="13"/>
      <c r="FDB481" s="13"/>
      <c r="FDC481" s="13"/>
      <c r="FDD481" s="13"/>
      <c r="FDE481" s="13"/>
      <c r="FDF481" s="13"/>
      <c r="FDG481" s="13"/>
      <c r="FDH481" s="13"/>
      <c r="FDI481" s="13"/>
      <c r="FDJ481" s="13"/>
      <c r="FDK481" s="13"/>
      <c r="FDL481" s="13"/>
      <c r="FDM481" s="13"/>
      <c r="FDN481" s="13"/>
      <c r="FDO481" s="13"/>
      <c r="FDP481" s="13"/>
      <c r="FDQ481" s="13"/>
      <c r="FDR481" s="13"/>
      <c r="FDS481" s="13"/>
      <c r="FDT481" s="13"/>
      <c r="FDU481" s="13"/>
      <c r="FDV481" s="13"/>
      <c r="FDW481" s="13"/>
      <c r="FDX481" s="13"/>
      <c r="FDY481" s="13"/>
      <c r="FDZ481" s="13"/>
      <c r="FEA481" s="13"/>
      <c r="FEB481" s="13"/>
      <c r="FEC481" s="13"/>
      <c r="FED481" s="13"/>
      <c r="FEE481" s="13"/>
      <c r="FEF481" s="13"/>
      <c r="FEG481" s="13"/>
      <c r="FEH481" s="13"/>
      <c r="FEI481" s="13"/>
      <c r="FEJ481" s="13"/>
      <c r="FEK481" s="13"/>
      <c r="FEL481" s="13"/>
      <c r="FEM481" s="13"/>
      <c r="FEN481" s="13"/>
      <c r="FEO481" s="13"/>
      <c r="FEP481" s="13"/>
      <c r="FEQ481" s="13"/>
      <c r="FER481" s="13"/>
      <c r="FES481" s="13"/>
      <c r="FET481" s="13"/>
      <c r="FEU481" s="13"/>
      <c r="FEV481" s="13"/>
      <c r="FEW481" s="13"/>
      <c r="FEX481" s="13"/>
      <c r="FEY481" s="13"/>
      <c r="FEZ481" s="13"/>
      <c r="FFA481" s="13"/>
      <c r="FFB481" s="13"/>
      <c r="FFC481" s="13"/>
      <c r="FFD481" s="13"/>
      <c r="FFE481" s="13"/>
      <c r="FFF481" s="13"/>
      <c r="FFG481" s="13"/>
      <c r="FFH481" s="13"/>
      <c r="FFI481" s="13"/>
      <c r="FFJ481" s="13"/>
      <c r="FFK481" s="13"/>
      <c r="FFL481" s="13"/>
      <c r="FFM481" s="13"/>
      <c r="FFN481" s="13"/>
      <c r="FFO481" s="13"/>
      <c r="FFP481" s="13"/>
      <c r="FFQ481" s="13"/>
      <c r="FFR481" s="13"/>
      <c r="FFS481" s="13"/>
      <c r="FFT481" s="13"/>
      <c r="FFU481" s="13"/>
      <c r="FFV481" s="13"/>
      <c r="FFW481" s="13"/>
      <c r="FFX481" s="13"/>
      <c r="FFY481" s="13"/>
      <c r="FFZ481" s="13"/>
      <c r="FGA481" s="13"/>
      <c r="FGB481" s="13"/>
      <c r="FGC481" s="13"/>
      <c r="FGD481" s="13"/>
      <c r="FGE481" s="13"/>
      <c r="FGF481" s="13"/>
      <c r="FGG481" s="13"/>
      <c r="FGH481" s="13"/>
      <c r="FGI481" s="13"/>
      <c r="FGJ481" s="13"/>
      <c r="FGK481" s="13"/>
      <c r="FGL481" s="13"/>
      <c r="FGM481" s="13"/>
      <c r="FGN481" s="13"/>
      <c r="FGO481" s="13"/>
      <c r="FGP481" s="13"/>
      <c r="FGQ481" s="13"/>
      <c r="FGR481" s="13"/>
      <c r="FGS481" s="13"/>
      <c r="FGT481" s="13"/>
      <c r="FGU481" s="13"/>
      <c r="FGV481" s="13"/>
      <c r="FGW481" s="13"/>
      <c r="FGX481" s="13"/>
      <c r="FGY481" s="13"/>
      <c r="FGZ481" s="13"/>
      <c r="FHA481" s="13"/>
      <c r="FHB481" s="13"/>
      <c r="FHC481" s="13"/>
      <c r="FHD481" s="13"/>
      <c r="FHE481" s="13"/>
      <c r="FHF481" s="13"/>
      <c r="FHG481" s="13"/>
      <c r="FHH481" s="13"/>
      <c r="FHI481" s="13"/>
      <c r="FHJ481" s="13"/>
      <c r="FHK481" s="13"/>
      <c r="FHL481" s="13"/>
      <c r="FHM481" s="13"/>
      <c r="FHN481" s="13"/>
      <c r="FHO481" s="13"/>
      <c r="FHP481" s="13"/>
      <c r="FHQ481" s="13"/>
      <c r="FHR481" s="13"/>
      <c r="FHS481" s="13"/>
      <c r="FHT481" s="13"/>
      <c r="FHU481" s="13"/>
      <c r="FHV481" s="13"/>
      <c r="FHW481" s="13"/>
      <c r="FHX481" s="13"/>
      <c r="FHY481" s="13"/>
      <c r="FHZ481" s="13"/>
      <c r="FIA481" s="13"/>
      <c r="FIB481" s="13"/>
      <c r="FIC481" s="13"/>
      <c r="FID481" s="13"/>
      <c r="FIE481" s="13"/>
      <c r="FIF481" s="13"/>
      <c r="FIG481" s="13"/>
      <c r="FIH481" s="13"/>
      <c r="FII481" s="13"/>
      <c r="FIJ481" s="13"/>
      <c r="FIK481" s="13"/>
      <c r="FIL481" s="13"/>
      <c r="FIM481" s="13"/>
      <c r="FIN481" s="13"/>
      <c r="FIO481" s="13"/>
      <c r="FIP481" s="13"/>
      <c r="FIQ481" s="13"/>
      <c r="FIR481" s="13"/>
      <c r="FIS481" s="13"/>
      <c r="FIT481" s="13"/>
      <c r="FIU481" s="13"/>
      <c r="FIV481" s="13"/>
      <c r="FIW481" s="13"/>
      <c r="FIX481" s="13"/>
      <c r="FIY481" s="13"/>
      <c r="FIZ481" s="13"/>
      <c r="FJA481" s="13"/>
      <c r="FJB481" s="13"/>
      <c r="FJC481" s="13"/>
      <c r="FJD481" s="13"/>
      <c r="FJE481" s="13"/>
      <c r="FJF481" s="13"/>
      <c r="FJG481" s="13"/>
      <c r="FJH481" s="13"/>
      <c r="FJI481" s="13"/>
      <c r="FJJ481" s="13"/>
      <c r="FJK481" s="13"/>
      <c r="FJL481" s="13"/>
      <c r="FJM481" s="13"/>
      <c r="FJN481" s="13"/>
      <c r="FJO481" s="13"/>
      <c r="FJP481" s="13"/>
      <c r="FJQ481" s="13"/>
      <c r="FJR481" s="13"/>
      <c r="FJS481" s="13"/>
      <c r="FJT481" s="13"/>
      <c r="FJU481" s="13"/>
      <c r="FJV481" s="13"/>
      <c r="FJW481" s="13"/>
      <c r="FJX481" s="13"/>
      <c r="FJY481" s="13"/>
      <c r="FJZ481" s="13"/>
      <c r="FKA481" s="13"/>
      <c r="FKB481" s="13"/>
      <c r="FKC481" s="13"/>
      <c r="FKD481" s="13"/>
      <c r="FKE481" s="13"/>
      <c r="FKF481" s="13"/>
      <c r="FKG481" s="13"/>
      <c r="FKH481" s="13"/>
      <c r="FKI481" s="13"/>
      <c r="FKJ481" s="13"/>
      <c r="FKK481" s="13"/>
      <c r="FKL481" s="13"/>
      <c r="FKM481" s="13"/>
      <c r="FKN481" s="13"/>
      <c r="FKO481" s="13"/>
      <c r="FKP481" s="13"/>
      <c r="FKQ481" s="13"/>
      <c r="FKR481" s="13"/>
      <c r="FKS481" s="13"/>
      <c r="FKT481" s="13"/>
      <c r="FKU481" s="13"/>
      <c r="FKV481" s="13"/>
      <c r="FKW481" s="13"/>
      <c r="FKX481" s="13"/>
      <c r="FKY481" s="13"/>
      <c r="FKZ481" s="13"/>
      <c r="FLA481" s="13"/>
      <c r="FLB481" s="13"/>
      <c r="FLC481" s="13"/>
      <c r="FLD481" s="13"/>
      <c r="FLE481" s="13"/>
      <c r="FLF481" s="13"/>
      <c r="FLG481" s="13"/>
      <c r="FLH481" s="13"/>
      <c r="FLI481" s="13"/>
      <c r="FLJ481" s="13"/>
      <c r="FLK481" s="13"/>
      <c r="FLL481" s="13"/>
      <c r="FLM481" s="13"/>
      <c r="FLN481" s="13"/>
      <c r="FLO481" s="13"/>
      <c r="FLP481" s="13"/>
      <c r="FLQ481" s="13"/>
      <c r="FLR481" s="13"/>
      <c r="FLS481" s="13"/>
      <c r="FLT481" s="13"/>
      <c r="FLU481" s="13"/>
      <c r="FLV481" s="13"/>
      <c r="FLW481" s="13"/>
      <c r="FLX481" s="13"/>
      <c r="FLY481" s="13"/>
      <c r="FLZ481" s="13"/>
      <c r="FMA481" s="13"/>
      <c r="FMB481" s="13"/>
      <c r="FMC481" s="13"/>
      <c r="FMD481" s="13"/>
      <c r="FME481" s="13"/>
      <c r="FMF481" s="13"/>
      <c r="FMG481" s="13"/>
      <c r="FMH481" s="13"/>
      <c r="FMI481" s="13"/>
      <c r="FMJ481" s="13"/>
      <c r="FMK481" s="13"/>
      <c r="FML481" s="13"/>
      <c r="FMM481" s="13"/>
      <c r="FMN481" s="13"/>
      <c r="FMO481" s="13"/>
      <c r="FMP481" s="13"/>
      <c r="FMQ481" s="13"/>
      <c r="FMR481" s="13"/>
      <c r="FMS481" s="13"/>
      <c r="FMT481" s="13"/>
      <c r="FMU481" s="13"/>
      <c r="FMV481" s="13"/>
      <c r="FMW481" s="13"/>
      <c r="FMX481" s="13"/>
      <c r="FMY481" s="13"/>
      <c r="FMZ481" s="13"/>
      <c r="FNA481" s="13"/>
      <c r="FNB481" s="13"/>
      <c r="FNC481" s="13"/>
      <c r="FND481" s="13"/>
      <c r="FNE481" s="13"/>
      <c r="FNF481" s="13"/>
      <c r="FNG481" s="13"/>
      <c r="FNH481" s="13"/>
      <c r="FNI481" s="13"/>
      <c r="FNJ481" s="13"/>
      <c r="FNK481" s="13"/>
      <c r="FNL481" s="13"/>
      <c r="FNM481" s="13"/>
      <c r="FNN481" s="13"/>
      <c r="FNO481" s="13"/>
      <c r="FNP481" s="13"/>
      <c r="FNQ481" s="13"/>
      <c r="FNR481" s="13"/>
      <c r="FNS481" s="13"/>
      <c r="FNT481" s="13"/>
      <c r="FNU481" s="13"/>
      <c r="FNV481" s="13"/>
      <c r="FNW481" s="13"/>
      <c r="FNX481" s="13"/>
      <c r="FNY481" s="13"/>
      <c r="FNZ481" s="13"/>
      <c r="FOA481" s="13"/>
      <c r="FOB481" s="13"/>
      <c r="FOC481" s="13"/>
      <c r="FOD481" s="13"/>
      <c r="FOE481" s="13"/>
      <c r="FOF481" s="13"/>
      <c r="FOG481" s="13"/>
      <c r="FOH481" s="13"/>
      <c r="FOI481" s="13"/>
      <c r="FOJ481" s="13"/>
      <c r="FOK481" s="13"/>
      <c r="FOL481" s="13"/>
      <c r="FOM481" s="13"/>
      <c r="FON481" s="13"/>
      <c r="FOO481" s="13"/>
      <c r="FOP481" s="13"/>
      <c r="FOQ481" s="13"/>
      <c r="FOR481" s="13"/>
      <c r="FOS481" s="13"/>
      <c r="FOT481" s="13"/>
      <c r="FOU481" s="13"/>
      <c r="FOV481" s="13"/>
      <c r="FOW481" s="13"/>
      <c r="FOX481" s="13"/>
      <c r="FOY481" s="13"/>
      <c r="FOZ481" s="13"/>
      <c r="FPA481" s="13"/>
      <c r="FPB481" s="13"/>
      <c r="FPC481" s="13"/>
      <c r="FPD481" s="13"/>
      <c r="FPE481" s="13"/>
      <c r="FPF481" s="13"/>
      <c r="FPG481" s="13"/>
      <c r="FPH481" s="13"/>
      <c r="FPI481" s="13"/>
      <c r="FPJ481" s="13"/>
      <c r="FPK481" s="13"/>
      <c r="FPL481" s="13"/>
      <c r="FPM481" s="13"/>
      <c r="FPN481" s="13"/>
      <c r="FPO481" s="13"/>
      <c r="FPP481" s="13"/>
      <c r="FPQ481" s="13"/>
      <c r="FPR481" s="13"/>
      <c r="FPS481" s="13"/>
      <c r="FPT481" s="13"/>
      <c r="FPU481" s="13"/>
      <c r="FPV481" s="13"/>
      <c r="FPW481" s="13"/>
      <c r="FPX481" s="13"/>
      <c r="FPY481" s="13"/>
      <c r="FPZ481" s="13"/>
      <c r="FQA481" s="13"/>
      <c r="FQB481" s="13"/>
      <c r="FQC481" s="13"/>
      <c r="FQD481" s="13"/>
      <c r="FQE481" s="13"/>
      <c r="FQF481" s="13"/>
      <c r="FQG481" s="13"/>
      <c r="FQH481" s="13"/>
      <c r="FQI481" s="13"/>
      <c r="FQJ481" s="13"/>
      <c r="FQK481" s="13"/>
      <c r="FQL481" s="13"/>
      <c r="FQM481" s="13"/>
      <c r="FQN481" s="13"/>
      <c r="FQO481" s="13"/>
      <c r="FQP481" s="13"/>
      <c r="FQQ481" s="13"/>
      <c r="FQR481" s="13"/>
      <c r="FQS481" s="13"/>
      <c r="FQT481" s="13"/>
      <c r="FQU481" s="13"/>
      <c r="FQV481" s="13"/>
      <c r="FQW481" s="13"/>
      <c r="FQX481" s="13"/>
      <c r="FQY481" s="13"/>
      <c r="FQZ481" s="13"/>
      <c r="FRA481" s="13"/>
      <c r="FRB481" s="13"/>
      <c r="FRC481" s="13"/>
      <c r="FRD481" s="13"/>
      <c r="FRE481" s="13"/>
      <c r="FRF481" s="13"/>
      <c r="FRG481" s="13"/>
      <c r="FRH481" s="13"/>
      <c r="FRI481" s="13"/>
      <c r="FRJ481" s="13"/>
      <c r="FRK481" s="13"/>
      <c r="FRL481" s="13"/>
      <c r="FRM481" s="13"/>
      <c r="FRN481" s="13"/>
      <c r="FRO481" s="13"/>
      <c r="FRP481" s="13"/>
      <c r="FRQ481" s="13"/>
      <c r="FRR481" s="13"/>
      <c r="FRS481" s="13"/>
      <c r="FRT481" s="13"/>
      <c r="FRU481" s="13"/>
      <c r="FRV481" s="13"/>
      <c r="FRW481" s="13"/>
      <c r="FRX481" s="13"/>
      <c r="FRY481" s="13"/>
      <c r="FRZ481" s="13"/>
      <c r="FSA481" s="13"/>
      <c r="FSB481" s="13"/>
      <c r="FSC481" s="13"/>
      <c r="FSD481" s="13"/>
      <c r="FSE481" s="13"/>
      <c r="FSF481" s="13"/>
      <c r="FSG481" s="13"/>
      <c r="FSH481" s="13"/>
      <c r="FSI481" s="13"/>
      <c r="FSJ481" s="13"/>
      <c r="FSK481" s="13"/>
      <c r="FSL481" s="13"/>
      <c r="FSM481" s="13"/>
      <c r="FSN481" s="13"/>
      <c r="FSO481" s="13"/>
      <c r="FSP481" s="13"/>
      <c r="FSQ481" s="13"/>
      <c r="FSR481" s="13"/>
      <c r="FSS481" s="13"/>
      <c r="FST481" s="13"/>
      <c r="FSU481" s="13"/>
      <c r="FSV481" s="13"/>
      <c r="FSW481" s="13"/>
      <c r="FSX481" s="13"/>
      <c r="FSY481" s="13"/>
      <c r="FSZ481" s="13"/>
      <c r="FTA481" s="13"/>
      <c r="FTB481" s="13"/>
      <c r="FTC481" s="13"/>
      <c r="FTD481" s="13"/>
      <c r="FTE481" s="13"/>
      <c r="FTF481" s="13"/>
      <c r="FTG481" s="13"/>
      <c r="FTH481" s="13"/>
      <c r="FTI481" s="13"/>
      <c r="FTJ481" s="13"/>
      <c r="FTK481" s="13"/>
      <c r="FTL481" s="13"/>
      <c r="FTM481" s="13"/>
      <c r="FTN481" s="13"/>
      <c r="FTO481" s="13"/>
      <c r="FTP481" s="13"/>
      <c r="FTQ481" s="13"/>
      <c r="FTR481" s="13"/>
      <c r="FTS481" s="13"/>
      <c r="FTT481" s="13"/>
      <c r="FTU481" s="13"/>
      <c r="FTV481" s="13"/>
      <c r="FTW481" s="13"/>
      <c r="FTX481" s="13"/>
      <c r="FTY481" s="13"/>
      <c r="FTZ481" s="13"/>
      <c r="FUA481" s="13"/>
      <c r="FUB481" s="13"/>
      <c r="FUC481" s="13"/>
      <c r="FUD481" s="13"/>
      <c r="FUE481" s="13"/>
      <c r="FUF481" s="13"/>
      <c r="FUG481" s="13"/>
      <c r="FUH481" s="13"/>
      <c r="FUI481" s="13"/>
      <c r="FUJ481" s="13"/>
      <c r="FUK481" s="13"/>
      <c r="FUL481" s="13"/>
      <c r="FUM481" s="13"/>
      <c r="FUN481" s="13"/>
      <c r="FUO481" s="13"/>
      <c r="FUP481" s="13"/>
      <c r="FUQ481" s="13"/>
      <c r="FUR481" s="13"/>
      <c r="FUS481" s="13"/>
      <c r="FUT481" s="13"/>
      <c r="FUU481" s="13"/>
      <c r="FUV481" s="13"/>
      <c r="FUW481" s="13"/>
      <c r="FUX481" s="13"/>
      <c r="FUY481" s="13"/>
      <c r="FUZ481" s="13"/>
      <c r="FVA481" s="13"/>
      <c r="FVB481" s="13"/>
      <c r="FVC481" s="13"/>
      <c r="FVD481" s="13"/>
      <c r="FVE481" s="13"/>
      <c r="FVF481" s="13"/>
      <c r="FVG481" s="13"/>
      <c r="FVH481" s="13"/>
      <c r="FVI481" s="13"/>
      <c r="FVJ481" s="13"/>
      <c r="FVK481" s="13"/>
      <c r="FVL481" s="13"/>
      <c r="FVM481" s="13"/>
      <c r="FVN481" s="13"/>
      <c r="FVO481" s="13"/>
      <c r="FVP481" s="13"/>
      <c r="FVQ481" s="13"/>
      <c r="FVR481" s="13"/>
      <c r="FVS481" s="13"/>
      <c r="FVT481" s="13"/>
      <c r="FVU481" s="13"/>
      <c r="FVV481" s="13"/>
      <c r="FVW481" s="13"/>
      <c r="FVX481" s="13"/>
      <c r="FVY481" s="13"/>
      <c r="FVZ481" s="13"/>
      <c r="FWA481" s="13"/>
      <c r="FWB481" s="13"/>
      <c r="FWC481" s="13"/>
      <c r="FWD481" s="13"/>
      <c r="FWE481" s="13"/>
      <c r="FWF481" s="13"/>
      <c r="FWG481" s="13"/>
      <c r="FWH481" s="13"/>
      <c r="FWI481" s="13"/>
      <c r="FWJ481" s="13"/>
      <c r="FWK481" s="13"/>
      <c r="FWL481" s="13"/>
      <c r="FWM481" s="13"/>
      <c r="FWN481" s="13"/>
      <c r="FWO481" s="13"/>
      <c r="FWP481" s="13"/>
      <c r="FWQ481" s="13"/>
      <c r="FWR481" s="13"/>
      <c r="FWS481" s="13"/>
      <c r="FWT481" s="13"/>
      <c r="FWU481" s="13"/>
      <c r="FWV481" s="13"/>
      <c r="FWW481" s="13"/>
      <c r="FWX481" s="13"/>
      <c r="FWY481" s="13"/>
      <c r="FWZ481" s="13"/>
      <c r="FXA481" s="13"/>
      <c r="FXB481" s="13"/>
      <c r="FXC481" s="13"/>
      <c r="FXD481" s="13"/>
      <c r="FXE481" s="13"/>
      <c r="FXF481" s="13"/>
      <c r="FXG481" s="13"/>
      <c r="FXH481" s="13"/>
      <c r="FXI481" s="13"/>
      <c r="FXJ481" s="13"/>
      <c r="FXK481" s="13"/>
      <c r="FXL481" s="13"/>
      <c r="FXM481" s="13"/>
      <c r="FXN481" s="13"/>
      <c r="FXO481" s="13"/>
      <c r="FXP481" s="13"/>
      <c r="FXQ481" s="13"/>
      <c r="FXR481" s="13"/>
      <c r="FXS481" s="13"/>
      <c r="FXT481" s="13"/>
      <c r="FXU481" s="13"/>
      <c r="FXV481" s="13"/>
      <c r="FXW481" s="13"/>
      <c r="FXX481" s="13"/>
      <c r="FXY481" s="13"/>
      <c r="FXZ481" s="13"/>
      <c r="FYA481" s="13"/>
      <c r="FYB481" s="13"/>
      <c r="FYC481" s="13"/>
      <c r="FYD481" s="13"/>
      <c r="FYE481" s="13"/>
      <c r="FYF481" s="13"/>
      <c r="FYG481" s="13"/>
      <c r="FYH481" s="13"/>
      <c r="FYI481" s="13"/>
      <c r="FYJ481" s="13"/>
      <c r="FYK481" s="13"/>
      <c r="FYL481" s="13"/>
      <c r="FYM481" s="13"/>
      <c r="FYN481" s="13"/>
      <c r="FYO481" s="13"/>
      <c r="FYP481" s="13"/>
      <c r="FYQ481" s="13"/>
      <c r="FYR481" s="13"/>
      <c r="FYS481" s="13"/>
      <c r="FYT481" s="13"/>
      <c r="FYU481" s="13"/>
      <c r="FYV481" s="13"/>
      <c r="FYW481" s="13"/>
      <c r="FYX481" s="13"/>
      <c r="FYY481" s="13"/>
      <c r="FYZ481" s="13"/>
      <c r="FZA481" s="13"/>
      <c r="FZB481" s="13"/>
      <c r="FZC481" s="13"/>
      <c r="FZD481" s="13"/>
      <c r="FZE481" s="13"/>
      <c r="FZF481" s="13"/>
      <c r="FZG481" s="13"/>
      <c r="FZH481" s="13"/>
      <c r="FZI481" s="13"/>
      <c r="FZJ481" s="13"/>
      <c r="FZK481" s="13"/>
      <c r="FZL481" s="13"/>
      <c r="FZM481" s="13"/>
      <c r="FZN481" s="13"/>
      <c r="FZO481" s="13"/>
      <c r="FZP481" s="13"/>
      <c r="FZQ481" s="13"/>
      <c r="FZR481" s="13"/>
      <c r="FZS481" s="13"/>
      <c r="FZT481" s="13"/>
      <c r="FZU481" s="13"/>
      <c r="FZV481" s="13"/>
      <c r="FZW481" s="13"/>
      <c r="FZX481" s="13"/>
      <c r="FZY481" s="13"/>
      <c r="FZZ481" s="13"/>
      <c r="GAA481" s="13"/>
      <c r="GAB481" s="13"/>
      <c r="GAC481" s="13"/>
      <c r="GAD481" s="13"/>
      <c r="GAE481" s="13"/>
      <c r="GAF481" s="13"/>
      <c r="GAG481" s="13"/>
      <c r="GAH481" s="13"/>
      <c r="GAI481" s="13"/>
      <c r="GAJ481" s="13"/>
      <c r="GAK481" s="13"/>
      <c r="GAL481" s="13"/>
      <c r="GAM481" s="13"/>
      <c r="GAN481" s="13"/>
      <c r="GAO481" s="13"/>
      <c r="GAP481" s="13"/>
      <c r="GAQ481" s="13"/>
      <c r="GAR481" s="13"/>
      <c r="GAS481" s="13"/>
      <c r="GAT481" s="13"/>
      <c r="GAU481" s="13"/>
      <c r="GAV481" s="13"/>
      <c r="GAW481" s="13"/>
      <c r="GAX481" s="13"/>
      <c r="GAY481" s="13"/>
      <c r="GAZ481" s="13"/>
      <c r="GBA481" s="13"/>
      <c r="GBB481" s="13"/>
      <c r="GBC481" s="13"/>
      <c r="GBD481" s="13"/>
      <c r="GBE481" s="13"/>
      <c r="GBF481" s="13"/>
      <c r="GBG481" s="13"/>
      <c r="GBH481" s="13"/>
      <c r="GBI481" s="13"/>
      <c r="GBJ481" s="13"/>
      <c r="GBK481" s="13"/>
      <c r="GBL481" s="13"/>
      <c r="GBM481" s="13"/>
      <c r="GBN481" s="13"/>
      <c r="GBO481" s="13"/>
      <c r="GBP481" s="13"/>
      <c r="GBQ481" s="13"/>
      <c r="GBR481" s="13"/>
      <c r="GBS481" s="13"/>
      <c r="GBT481" s="13"/>
      <c r="GBU481" s="13"/>
      <c r="GBV481" s="13"/>
      <c r="GBW481" s="13"/>
      <c r="GBX481" s="13"/>
      <c r="GBY481" s="13"/>
      <c r="GBZ481" s="13"/>
      <c r="GCA481" s="13"/>
      <c r="GCB481" s="13"/>
      <c r="GCC481" s="13"/>
      <c r="GCD481" s="13"/>
      <c r="GCE481" s="13"/>
      <c r="GCF481" s="13"/>
      <c r="GCG481" s="13"/>
      <c r="GCH481" s="13"/>
      <c r="GCI481" s="13"/>
      <c r="GCJ481" s="13"/>
      <c r="GCK481" s="13"/>
      <c r="GCL481" s="13"/>
      <c r="GCM481" s="13"/>
      <c r="GCN481" s="13"/>
      <c r="GCO481" s="13"/>
      <c r="GCP481" s="13"/>
      <c r="GCQ481" s="13"/>
      <c r="GCR481" s="13"/>
      <c r="GCS481" s="13"/>
      <c r="GCT481" s="13"/>
      <c r="GCU481" s="13"/>
      <c r="GCV481" s="13"/>
      <c r="GCW481" s="13"/>
      <c r="GCX481" s="13"/>
      <c r="GCY481" s="13"/>
      <c r="GCZ481" s="13"/>
      <c r="GDA481" s="13"/>
      <c r="GDB481" s="13"/>
      <c r="GDC481" s="13"/>
      <c r="GDD481" s="13"/>
      <c r="GDE481" s="13"/>
      <c r="GDF481" s="13"/>
      <c r="GDG481" s="13"/>
      <c r="GDH481" s="13"/>
      <c r="GDI481" s="13"/>
      <c r="GDJ481" s="13"/>
      <c r="GDK481" s="13"/>
      <c r="GDL481" s="13"/>
      <c r="GDM481" s="13"/>
      <c r="GDN481" s="13"/>
      <c r="GDO481" s="13"/>
      <c r="GDP481" s="13"/>
      <c r="GDQ481" s="13"/>
      <c r="GDR481" s="13"/>
      <c r="GDS481" s="13"/>
      <c r="GDT481" s="13"/>
      <c r="GDU481" s="13"/>
      <c r="GDV481" s="13"/>
      <c r="GDW481" s="13"/>
      <c r="GDX481" s="13"/>
      <c r="GDY481" s="13"/>
      <c r="GDZ481" s="13"/>
      <c r="GEA481" s="13"/>
      <c r="GEB481" s="13"/>
      <c r="GEC481" s="13"/>
      <c r="GED481" s="13"/>
      <c r="GEE481" s="13"/>
      <c r="GEF481" s="13"/>
      <c r="GEG481" s="13"/>
      <c r="GEH481" s="13"/>
      <c r="GEI481" s="13"/>
      <c r="GEJ481" s="13"/>
      <c r="GEK481" s="13"/>
      <c r="GEL481" s="13"/>
      <c r="GEM481" s="13"/>
      <c r="GEN481" s="13"/>
      <c r="GEO481" s="13"/>
      <c r="GEP481" s="13"/>
      <c r="GEQ481" s="13"/>
      <c r="GER481" s="13"/>
      <c r="GES481" s="13"/>
      <c r="GET481" s="13"/>
      <c r="GEU481" s="13"/>
      <c r="GEV481" s="13"/>
      <c r="GEW481" s="13"/>
      <c r="GEX481" s="13"/>
      <c r="GEY481" s="13"/>
      <c r="GEZ481" s="13"/>
      <c r="GFA481" s="13"/>
      <c r="GFB481" s="13"/>
      <c r="GFC481" s="13"/>
      <c r="GFD481" s="13"/>
      <c r="GFE481" s="13"/>
      <c r="GFF481" s="13"/>
      <c r="GFG481" s="13"/>
      <c r="GFH481" s="13"/>
      <c r="GFI481" s="13"/>
      <c r="GFJ481" s="13"/>
      <c r="GFK481" s="13"/>
      <c r="GFL481" s="13"/>
      <c r="GFM481" s="13"/>
      <c r="GFN481" s="13"/>
      <c r="GFO481" s="13"/>
      <c r="GFP481" s="13"/>
      <c r="GFQ481" s="13"/>
      <c r="GFR481" s="13"/>
      <c r="GFS481" s="13"/>
      <c r="GFT481" s="13"/>
      <c r="GFU481" s="13"/>
      <c r="GFV481" s="13"/>
      <c r="GFW481" s="13"/>
      <c r="GFX481" s="13"/>
      <c r="GFY481" s="13"/>
      <c r="GFZ481" s="13"/>
      <c r="GGA481" s="13"/>
      <c r="GGB481" s="13"/>
      <c r="GGC481" s="13"/>
      <c r="GGD481" s="13"/>
      <c r="GGE481" s="13"/>
      <c r="GGF481" s="13"/>
      <c r="GGG481" s="13"/>
      <c r="GGH481" s="13"/>
      <c r="GGI481" s="13"/>
      <c r="GGJ481" s="13"/>
      <c r="GGK481" s="13"/>
      <c r="GGL481" s="13"/>
      <c r="GGM481" s="13"/>
      <c r="GGN481" s="13"/>
      <c r="GGO481" s="13"/>
      <c r="GGP481" s="13"/>
      <c r="GGQ481" s="13"/>
      <c r="GGR481" s="13"/>
      <c r="GGS481" s="13"/>
      <c r="GGT481" s="13"/>
      <c r="GGU481" s="13"/>
      <c r="GGV481" s="13"/>
      <c r="GGW481" s="13"/>
      <c r="GGX481" s="13"/>
      <c r="GGY481" s="13"/>
      <c r="GGZ481" s="13"/>
      <c r="GHA481" s="13"/>
      <c r="GHB481" s="13"/>
      <c r="GHC481" s="13"/>
      <c r="GHD481" s="13"/>
      <c r="GHE481" s="13"/>
      <c r="GHF481" s="13"/>
      <c r="GHG481" s="13"/>
      <c r="GHH481" s="13"/>
      <c r="GHI481" s="13"/>
      <c r="GHJ481" s="13"/>
      <c r="GHK481" s="13"/>
      <c r="GHL481" s="13"/>
      <c r="GHM481" s="13"/>
      <c r="GHN481" s="13"/>
      <c r="GHO481" s="13"/>
      <c r="GHP481" s="13"/>
      <c r="GHQ481" s="13"/>
      <c r="GHR481" s="13"/>
      <c r="GHS481" s="13"/>
      <c r="GHT481" s="13"/>
      <c r="GHU481" s="13"/>
      <c r="GHV481" s="13"/>
      <c r="GHW481" s="13"/>
      <c r="GHX481" s="13"/>
      <c r="GHY481" s="13"/>
      <c r="GHZ481" s="13"/>
      <c r="GIA481" s="13"/>
      <c r="GIB481" s="13"/>
      <c r="GIC481" s="13"/>
      <c r="GID481" s="13"/>
      <c r="GIE481" s="13"/>
      <c r="GIF481" s="13"/>
      <c r="GIG481" s="13"/>
      <c r="GIH481" s="13"/>
      <c r="GII481" s="13"/>
      <c r="GIJ481" s="13"/>
      <c r="GIK481" s="13"/>
      <c r="GIL481" s="13"/>
      <c r="GIM481" s="13"/>
      <c r="GIN481" s="13"/>
      <c r="GIO481" s="13"/>
      <c r="GIP481" s="13"/>
      <c r="GIQ481" s="13"/>
      <c r="GIR481" s="13"/>
      <c r="GIS481" s="13"/>
      <c r="GIT481" s="13"/>
      <c r="GIU481" s="13"/>
      <c r="GIV481" s="13"/>
      <c r="GIW481" s="13"/>
      <c r="GIX481" s="13"/>
      <c r="GIY481" s="13"/>
      <c r="GIZ481" s="13"/>
      <c r="GJA481" s="13"/>
      <c r="GJB481" s="13"/>
      <c r="GJC481" s="13"/>
      <c r="GJD481" s="13"/>
      <c r="GJE481" s="13"/>
      <c r="GJF481" s="13"/>
      <c r="GJG481" s="13"/>
      <c r="GJH481" s="13"/>
      <c r="GJI481" s="13"/>
      <c r="GJJ481" s="13"/>
      <c r="GJK481" s="13"/>
      <c r="GJL481" s="13"/>
      <c r="GJM481" s="13"/>
      <c r="GJN481" s="13"/>
      <c r="GJO481" s="13"/>
      <c r="GJP481" s="13"/>
      <c r="GJQ481" s="13"/>
      <c r="GJR481" s="13"/>
      <c r="GJS481" s="13"/>
      <c r="GJT481" s="13"/>
      <c r="GJU481" s="13"/>
      <c r="GJV481" s="13"/>
      <c r="GJW481" s="13"/>
      <c r="GJX481" s="13"/>
      <c r="GJY481" s="13"/>
      <c r="GJZ481" s="13"/>
      <c r="GKA481" s="13"/>
      <c r="GKB481" s="13"/>
      <c r="GKC481" s="13"/>
      <c r="GKD481" s="13"/>
      <c r="GKE481" s="13"/>
      <c r="GKF481" s="13"/>
      <c r="GKG481" s="13"/>
      <c r="GKH481" s="13"/>
      <c r="GKI481" s="13"/>
      <c r="GKJ481" s="13"/>
      <c r="GKK481" s="13"/>
      <c r="GKL481" s="13"/>
      <c r="GKM481" s="13"/>
      <c r="GKN481" s="13"/>
      <c r="GKO481" s="13"/>
      <c r="GKP481" s="13"/>
      <c r="GKQ481" s="13"/>
      <c r="GKR481" s="13"/>
      <c r="GKS481" s="13"/>
      <c r="GKT481" s="13"/>
      <c r="GKU481" s="13"/>
      <c r="GKV481" s="13"/>
      <c r="GKW481" s="13"/>
      <c r="GKX481" s="13"/>
      <c r="GKY481" s="13"/>
      <c r="GKZ481" s="13"/>
      <c r="GLA481" s="13"/>
      <c r="GLB481" s="13"/>
      <c r="GLC481" s="13"/>
      <c r="GLD481" s="13"/>
      <c r="GLE481" s="13"/>
      <c r="GLF481" s="13"/>
      <c r="GLG481" s="13"/>
      <c r="GLH481" s="13"/>
      <c r="GLI481" s="13"/>
      <c r="GLJ481" s="13"/>
      <c r="GLK481" s="13"/>
      <c r="GLL481" s="13"/>
      <c r="GLM481" s="13"/>
      <c r="GLN481" s="13"/>
      <c r="GLO481" s="13"/>
      <c r="GLP481" s="13"/>
      <c r="GLQ481" s="13"/>
      <c r="GLR481" s="13"/>
      <c r="GLS481" s="13"/>
      <c r="GLT481" s="13"/>
      <c r="GLU481" s="13"/>
      <c r="GLV481" s="13"/>
      <c r="GLW481" s="13"/>
      <c r="GLX481" s="13"/>
      <c r="GLY481" s="13"/>
      <c r="GLZ481" s="13"/>
      <c r="GMA481" s="13"/>
      <c r="GMB481" s="13"/>
      <c r="GMC481" s="13"/>
      <c r="GMD481" s="13"/>
      <c r="GME481" s="13"/>
      <c r="GMF481" s="13"/>
      <c r="GMG481" s="13"/>
      <c r="GMH481" s="13"/>
      <c r="GMI481" s="13"/>
      <c r="GMJ481" s="13"/>
      <c r="GMK481" s="13"/>
      <c r="GML481" s="13"/>
      <c r="GMM481" s="13"/>
      <c r="GMN481" s="13"/>
      <c r="GMO481" s="13"/>
      <c r="GMP481" s="13"/>
      <c r="GMQ481" s="13"/>
      <c r="GMR481" s="13"/>
      <c r="GMS481" s="13"/>
      <c r="GMT481" s="13"/>
      <c r="GMU481" s="13"/>
      <c r="GMV481" s="13"/>
      <c r="GMW481" s="13"/>
      <c r="GMX481" s="13"/>
      <c r="GMY481" s="13"/>
      <c r="GMZ481" s="13"/>
      <c r="GNA481" s="13"/>
      <c r="GNB481" s="13"/>
      <c r="GNC481" s="13"/>
      <c r="GND481" s="13"/>
      <c r="GNE481" s="13"/>
      <c r="GNF481" s="13"/>
      <c r="GNG481" s="13"/>
      <c r="GNH481" s="13"/>
      <c r="GNI481" s="13"/>
      <c r="GNJ481" s="13"/>
      <c r="GNK481" s="13"/>
      <c r="GNL481" s="13"/>
      <c r="GNM481" s="13"/>
      <c r="GNN481" s="13"/>
      <c r="GNO481" s="13"/>
      <c r="GNP481" s="13"/>
      <c r="GNQ481" s="13"/>
      <c r="GNR481" s="13"/>
      <c r="GNS481" s="13"/>
      <c r="GNT481" s="13"/>
      <c r="GNU481" s="13"/>
      <c r="GNV481" s="13"/>
      <c r="GNW481" s="13"/>
      <c r="GNX481" s="13"/>
      <c r="GNY481" s="13"/>
      <c r="GNZ481" s="13"/>
      <c r="GOA481" s="13"/>
      <c r="GOB481" s="13"/>
      <c r="GOC481" s="13"/>
      <c r="GOD481" s="13"/>
      <c r="GOE481" s="13"/>
      <c r="GOF481" s="13"/>
      <c r="GOG481" s="13"/>
      <c r="GOH481" s="13"/>
      <c r="GOI481" s="13"/>
      <c r="GOJ481" s="13"/>
      <c r="GOK481" s="13"/>
      <c r="GOL481" s="13"/>
      <c r="GOM481" s="13"/>
      <c r="GON481" s="13"/>
      <c r="GOO481" s="13"/>
      <c r="GOP481" s="13"/>
      <c r="GOQ481" s="13"/>
      <c r="GOR481" s="13"/>
      <c r="GOS481" s="13"/>
      <c r="GOT481" s="13"/>
      <c r="GOU481" s="13"/>
      <c r="GOV481" s="13"/>
      <c r="GOW481" s="13"/>
      <c r="GOX481" s="13"/>
      <c r="GOY481" s="13"/>
      <c r="GOZ481" s="13"/>
      <c r="GPA481" s="13"/>
      <c r="GPB481" s="13"/>
      <c r="GPC481" s="13"/>
      <c r="GPD481" s="13"/>
      <c r="GPE481" s="13"/>
      <c r="GPF481" s="13"/>
      <c r="GPG481" s="13"/>
      <c r="GPH481" s="13"/>
      <c r="GPI481" s="13"/>
      <c r="GPJ481" s="13"/>
      <c r="GPK481" s="13"/>
      <c r="GPL481" s="13"/>
      <c r="GPM481" s="13"/>
      <c r="GPN481" s="13"/>
      <c r="GPO481" s="13"/>
      <c r="GPP481" s="13"/>
      <c r="GPQ481" s="13"/>
      <c r="GPR481" s="13"/>
      <c r="GPS481" s="13"/>
      <c r="GPT481" s="13"/>
      <c r="GPU481" s="13"/>
      <c r="GPV481" s="13"/>
      <c r="GPW481" s="13"/>
      <c r="GPX481" s="13"/>
      <c r="GPY481" s="13"/>
      <c r="GPZ481" s="13"/>
      <c r="GQA481" s="13"/>
      <c r="GQB481" s="13"/>
      <c r="GQC481" s="13"/>
      <c r="GQD481" s="13"/>
      <c r="GQE481" s="13"/>
      <c r="GQF481" s="13"/>
      <c r="GQG481" s="13"/>
      <c r="GQH481" s="13"/>
      <c r="GQI481" s="13"/>
      <c r="GQJ481" s="13"/>
      <c r="GQK481" s="13"/>
      <c r="GQL481" s="13"/>
      <c r="GQM481" s="13"/>
      <c r="GQN481" s="13"/>
      <c r="GQO481" s="13"/>
      <c r="GQP481" s="13"/>
      <c r="GQQ481" s="13"/>
      <c r="GQR481" s="13"/>
      <c r="GQS481" s="13"/>
      <c r="GQT481" s="13"/>
      <c r="GQU481" s="13"/>
      <c r="GQV481" s="13"/>
      <c r="GQW481" s="13"/>
      <c r="GQX481" s="13"/>
      <c r="GQY481" s="13"/>
      <c r="GQZ481" s="13"/>
      <c r="GRA481" s="13"/>
      <c r="GRB481" s="13"/>
      <c r="GRC481" s="13"/>
      <c r="GRD481" s="13"/>
      <c r="GRE481" s="13"/>
      <c r="GRF481" s="13"/>
      <c r="GRG481" s="13"/>
      <c r="GRH481" s="13"/>
      <c r="GRI481" s="13"/>
      <c r="GRJ481" s="13"/>
      <c r="GRK481" s="13"/>
      <c r="GRL481" s="13"/>
      <c r="GRM481" s="13"/>
      <c r="GRN481" s="13"/>
      <c r="GRO481" s="13"/>
      <c r="GRP481" s="13"/>
      <c r="GRQ481" s="13"/>
      <c r="GRR481" s="13"/>
      <c r="GRS481" s="13"/>
      <c r="GRT481" s="13"/>
      <c r="GRU481" s="13"/>
      <c r="GRV481" s="13"/>
      <c r="GRW481" s="13"/>
      <c r="GRX481" s="13"/>
      <c r="GRY481" s="13"/>
      <c r="GRZ481" s="13"/>
      <c r="GSA481" s="13"/>
      <c r="GSB481" s="13"/>
      <c r="GSC481" s="13"/>
      <c r="GSD481" s="13"/>
      <c r="GSE481" s="13"/>
      <c r="GSF481" s="13"/>
      <c r="GSG481" s="13"/>
      <c r="GSH481" s="13"/>
      <c r="GSI481" s="13"/>
      <c r="GSJ481" s="13"/>
      <c r="GSK481" s="13"/>
      <c r="GSL481" s="13"/>
      <c r="GSM481" s="13"/>
      <c r="GSN481" s="13"/>
      <c r="GSO481" s="13"/>
      <c r="GSP481" s="13"/>
      <c r="GSQ481" s="13"/>
      <c r="GSR481" s="13"/>
      <c r="GSS481" s="13"/>
      <c r="GST481" s="13"/>
      <c r="GSU481" s="13"/>
      <c r="GSV481" s="13"/>
      <c r="GSW481" s="13"/>
      <c r="GSX481" s="13"/>
      <c r="GSY481" s="13"/>
      <c r="GSZ481" s="13"/>
      <c r="GTA481" s="13"/>
      <c r="GTB481" s="13"/>
      <c r="GTC481" s="13"/>
      <c r="GTD481" s="13"/>
      <c r="GTE481" s="13"/>
      <c r="GTF481" s="13"/>
      <c r="GTG481" s="13"/>
      <c r="GTH481" s="13"/>
      <c r="GTI481" s="13"/>
      <c r="GTJ481" s="13"/>
      <c r="GTK481" s="13"/>
      <c r="GTL481" s="13"/>
      <c r="GTM481" s="13"/>
      <c r="GTN481" s="13"/>
      <c r="GTO481" s="13"/>
      <c r="GTP481" s="13"/>
      <c r="GTQ481" s="13"/>
      <c r="GTR481" s="13"/>
      <c r="GTS481" s="13"/>
      <c r="GTT481" s="13"/>
      <c r="GTU481" s="13"/>
      <c r="GTV481" s="13"/>
      <c r="GTW481" s="13"/>
      <c r="GTX481" s="13"/>
      <c r="GTY481" s="13"/>
      <c r="GTZ481" s="13"/>
      <c r="GUA481" s="13"/>
      <c r="GUB481" s="13"/>
      <c r="GUC481" s="13"/>
      <c r="GUD481" s="13"/>
      <c r="GUE481" s="13"/>
      <c r="GUF481" s="13"/>
      <c r="GUG481" s="13"/>
      <c r="GUH481" s="13"/>
      <c r="GUI481" s="13"/>
      <c r="GUJ481" s="13"/>
      <c r="GUK481" s="13"/>
      <c r="GUL481" s="13"/>
      <c r="GUM481" s="13"/>
      <c r="GUN481" s="13"/>
      <c r="GUO481" s="13"/>
      <c r="GUP481" s="13"/>
      <c r="GUQ481" s="13"/>
      <c r="GUR481" s="13"/>
      <c r="GUS481" s="13"/>
      <c r="GUT481" s="13"/>
      <c r="GUU481" s="13"/>
      <c r="GUV481" s="13"/>
      <c r="GUW481" s="13"/>
      <c r="GUX481" s="13"/>
      <c r="GUY481" s="13"/>
      <c r="GUZ481" s="13"/>
      <c r="GVA481" s="13"/>
      <c r="GVB481" s="13"/>
      <c r="GVC481" s="13"/>
      <c r="GVD481" s="13"/>
      <c r="GVE481" s="13"/>
      <c r="GVF481" s="13"/>
      <c r="GVG481" s="13"/>
      <c r="GVH481" s="13"/>
      <c r="GVI481" s="13"/>
      <c r="GVJ481" s="13"/>
      <c r="GVK481" s="13"/>
      <c r="GVL481" s="13"/>
      <c r="GVM481" s="13"/>
      <c r="GVN481" s="13"/>
      <c r="GVO481" s="13"/>
      <c r="GVP481" s="13"/>
      <c r="GVQ481" s="13"/>
      <c r="GVR481" s="13"/>
      <c r="GVS481" s="13"/>
      <c r="GVT481" s="13"/>
      <c r="GVU481" s="13"/>
      <c r="GVV481" s="13"/>
      <c r="GVW481" s="13"/>
      <c r="GVX481" s="13"/>
      <c r="GVY481" s="13"/>
      <c r="GVZ481" s="13"/>
      <c r="GWA481" s="13"/>
      <c r="GWB481" s="13"/>
      <c r="GWC481" s="13"/>
      <c r="GWD481" s="13"/>
      <c r="GWE481" s="13"/>
      <c r="GWF481" s="13"/>
      <c r="GWG481" s="13"/>
      <c r="GWH481" s="13"/>
      <c r="GWI481" s="13"/>
      <c r="GWJ481" s="13"/>
      <c r="GWK481" s="13"/>
      <c r="GWL481" s="13"/>
      <c r="GWM481" s="13"/>
      <c r="GWN481" s="13"/>
      <c r="GWO481" s="13"/>
      <c r="GWP481" s="13"/>
      <c r="GWQ481" s="13"/>
      <c r="GWR481" s="13"/>
      <c r="GWS481" s="13"/>
      <c r="GWT481" s="13"/>
      <c r="GWU481" s="13"/>
      <c r="GWV481" s="13"/>
      <c r="GWW481" s="13"/>
      <c r="GWX481" s="13"/>
      <c r="GWY481" s="13"/>
      <c r="GWZ481" s="13"/>
      <c r="GXA481" s="13"/>
      <c r="GXB481" s="13"/>
      <c r="GXC481" s="13"/>
      <c r="GXD481" s="13"/>
      <c r="GXE481" s="13"/>
      <c r="GXF481" s="13"/>
      <c r="GXG481" s="13"/>
      <c r="GXH481" s="13"/>
      <c r="GXI481" s="13"/>
      <c r="GXJ481" s="13"/>
      <c r="GXK481" s="13"/>
      <c r="GXL481" s="13"/>
      <c r="GXM481" s="13"/>
      <c r="GXN481" s="13"/>
      <c r="GXO481" s="13"/>
      <c r="GXP481" s="13"/>
      <c r="GXQ481" s="13"/>
      <c r="GXR481" s="13"/>
      <c r="GXS481" s="13"/>
      <c r="GXT481" s="13"/>
      <c r="GXU481" s="13"/>
      <c r="GXV481" s="13"/>
      <c r="GXW481" s="13"/>
      <c r="GXX481" s="13"/>
      <c r="GXY481" s="13"/>
      <c r="GXZ481" s="13"/>
      <c r="GYA481" s="13"/>
      <c r="GYB481" s="13"/>
      <c r="GYC481" s="13"/>
      <c r="GYD481" s="13"/>
      <c r="GYE481" s="13"/>
      <c r="GYF481" s="13"/>
      <c r="GYG481" s="13"/>
      <c r="GYH481" s="13"/>
      <c r="GYI481" s="13"/>
      <c r="GYJ481" s="13"/>
      <c r="GYK481" s="13"/>
      <c r="GYL481" s="13"/>
      <c r="GYM481" s="13"/>
      <c r="GYN481" s="13"/>
      <c r="GYO481" s="13"/>
      <c r="GYP481" s="13"/>
      <c r="GYQ481" s="13"/>
      <c r="GYR481" s="13"/>
      <c r="GYS481" s="13"/>
      <c r="GYT481" s="13"/>
      <c r="GYU481" s="13"/>
      <c r="GYV481" s="13"/>
      <c r="GYW481" s="13"/>
      <c r="GYX481" s="13"/>
      <c r="GYY481" s="13"/>
      <c r="GYZ481" s="13"/>
      <c r="GZA481" s="13"/>
      <c r="GZB481" s="13"/>
      <c r="GZC481" s="13"/>
      <c r="GZD481" s="13"/>
      <c r="GZE481" s="13"/>
      <c r="GZF481" s="13"/>
      <c r="GZG481" s="13"/>
      <c r="GZH481" s="13"/>
      <c r="GZI481" s="13"/>
      <c r="GZJ481" s="13"/>
      <c r="GZK481" s="13"/>
      <c r="GZL481" s="13"/>
      <c r="GZM481" s="13"/>
      <c r="GZN481" s="13"/>
      <c r="GZO481" s="13"/>
      <c r="GZP481" s="13"/>
      <c r="GZQ481" s="13"/>
      <c r="GZR481" s="13"/>
      <c r="GZS481" s="13"/>
      <c r="GZT481" s="13"/>
      <c r="GZU481" s="13"/>
      <c r="GZV481" s="13"/>
      <c r="GZW481" s="13"/>
      <c r="GZX481" s="13"/>
      <c r="GZY481" s="13"/>
      <c r="GZZ481" s="13"/>
      <c r="HAA481" s="13"/>
      <c r="HAB481" s="13"/>
      <c r="HAC481" s="13"/>
      <c r="HAD481" s="13"/>
      <c r="HAE481" s="13"/>
      <c r="HAF481" s="13"/>
      <c r="HAG481" s="13"/>
      <c r="HAH481" s="13"/>
      <c r="HAI481" s="13"/>
      <c r="HAJ481" s="13"/>
      <c r="HAK481" s="13"/>
      <c r="HAL481" s="13"/>
      <c r="HAM481" s="13"/>
      <c r="HAN481" s="13"/>
      <c r="HAO481" s="13"/>
      <c r="HAP481" s="13"/>
      <c r="HAQ481" s="13"/>
      <c r="HAR481" s="13"/>
      <c r="HAS481" s="13"/>
      <c r="HAT481" s="13"/>
      <c r="HAU481" s="13"/>
      <c r="HAV481" s="13"/>
      <c r="HAW481" s="13"/>
      <c r="HAX481" s="13"/>
      <c r="HAY481" s="13"/>
      <c r="HAZ481" s="13"/>
      <c r="HBA481" s="13"/>
      <c r="HBB481" s="13"/>
      <c r="HBC481" s="13"/>
      <c r="HBD481" s="13"/>
      <c r="HBE481" s="13"/>
      <c r="HBF481" s="13"/>
      <c r="HBG481" s="13"/>
      <c r="HBH481" s="13"/>
      <c r="HBI481" s="13"/>
      <c r="HBJ481" s="13"/>
      <c r="HBK481" s="13"/>
      <c r="HBL481" s="13"/>
      <c r="HBM481" s="13"/>
      <c r="HBN481" s="13"/>
      <c r="HBO481" s="13"/>
      <c r="HBP481" s="13"/>
      <c r="HBQ481" s="13"/>
      <c r="HBR481" s="13"/>
      <c r="HBS481" s="13"/>
      <c r="HBT481" s="13"/>
      <c r="HBU481" s="13"/>
      <c r="HBV481" s="13"/>
      <c r="HBW481" s="13"/>
      <c r="HBX481" s="13"/>
      <c r="HBY481" s="13"/>
      <c r="HBZ481" s="13"/>
      <c r="HCA481" s="13"/>
      <c r="HCB481" s="13"/>
      <c r="HCC481" s="13"/>
      <c r="HCD481" s="13"/>
      <c r="HCE481" s="13"/>
      <c r="HCF481" s="13"/>
      <c r="HCG481" s="13"/>
      <c r="HCH481" s="13"/>
      <c r="HCI481" s="13"/>
      <c r="HCJ481" s="13"/>
      <c r="HCK481" s="13"/>
      <c r="HCL481" s="13"/>
      <c r="HCM481" s="13"/>
      <c r="HCN481" s="13"/>
      <c r="HCO481" s="13"/>
      <c r="HCP481" s="13"/>
      <c r="HCQ481" s="13"/>
      <c r="HCR481" s="13"/>
      <c r="HCS481" s="13"/>
      <c r="HCT481" s="13"/>
      <c r="HCU481" s="13"/>
      <c r="HCV481" s="13"/>
      <c r="HCW481" s="13"/>
      <c r="HCX481" s="13"/>
      <c r="HCY481" s="13"/>
      <c r="HCZ481" s="13"/>
      <c r="HDA481" s="13"/>
      <c r="HDB481" s="13"/>
      <c r="HDC481" s="13"/>
      <c r="HDD481" s="13"/>
      <c r="HDE481" s="13"/>
      <c r="HDF481" s="13"/>
      <c r="HDG481" s="13"/>
      <c r="HDH481" s="13"/>
      <c r="HDI481" s="13"/>
      <c r="HDJ481" s="13"/>
      <c r="HDK481" s="13"/>
      <c r="HDL481" s="13"/>
      <c r="HDM481" s="13"/>
      <c r="HDN481" s="13"/>
      <c r="HDO481" s="13"/>
      <c r="HDP481" s="13"/>
      <c r="HDQ481" s="13"/>
      <c r="HDR481" s="13"/>
      <c r="HDS481" s="13"/>
      <c r="HDT481" s="13"/>
      <c r="HDU481" s="13"/>
      <c r="HDV481" s="13"/>
      <c r="HDW481" s="13"/>
      <c r="HDX481" s="13"/>
      <c r="HDY481" s="13"/>
      <c r="HDZ481" s="13"/>
      <c r="HEA481" s="13"/>
      <c r="HEB481" s="13"/>
      <c r="HEC481" s="13"/>
      <c r="HED481" s="13"/>
      <c r="HEE481" s="13"/>
      <c r="HEF481" s="13"/>
      <c r="HEG481" s="13"/>
      <c r="HEH481" s="13"/>
      <c r="HEI481" s="13"/>
      <c r="HEJ481" s="13"/>
      <c r="HEK481" s="13"/>
      <c r="HEL481" s="13"/>
      <c r="HEM481" s="13"/>
      <c r="HEN481" s="13"/>
      <c r="HEO481" s="13"/>
      <c r="HEP481" s="13"/>
      <c r="HEQ481" s="13"/>
      <c r="HER481" s="13"/>
      <c r="HES481" s="13"/>
      <c r="HET481" s="13"/>
      <c r="HEU481" s="13"/>
      <c r="HEV481" s="13"/>
      <c r="HEW481" s="13"/>
      <c r="HEX481" s="13"/>
      <c r="HEY481" s="13"/>
      <c r="HEZ481" s="13"/>
      <c r="HFA481" s="13"/>
      <c r="HFB481" s="13"/>
      <c r="HFC481" s="13"/>
      <c r="HFD481" s="13"/>
      <c r="HFE481" s="13"/>
      <c r="HFF481" s="13"/>
      <c r="HFG481" s="13"/>
      <c r="HFH481" s="13"/>
      <c r="HFI481" s="13"/>
      <c r="HFJ481" s="13"/>
      <c r="HFK481" s="13"/>
      <c r="HFL481" s="13"/>
      <c r="HFM481" s="13"/>
      <c r="HFN481" s="13"/>
      <c r="HFO481" s="13"/>
      <c r="HFP481" s="13"/>
      <c r="HFQ481" s="13"/>
      <c r="HFR481" s="13"/>
      <c r="HFS481" s="13"/>
      <c r="HFT481" s="13"/>
      <c r="HFU481" s="13"/>
      <c r="HFV481" s="13"/>
      <c r="HFW481" s="13"/>
      <c r="HFX481" s="13"/>
      <c r="HFY481" s="13"/>
      <c r="HFZ481" s="13"/>
      <c r="HGA481" s="13"/>
      <c r="HGB481" s="13"/>
      <c r="HGC481" s="13"/>
      <c r="HGD481" s="13"/>
      <c r="HGE481" s="13"/>
      <c r="HGF481" s="13"/>
      <c r="HGG481" s="13"/>
      <c r="HGH481" s="13"/>
      <c r="HGI481" s="13"/>
      <c r="HGJ481" s="13"/>
      <c r="HGK481" s="13"/>
      <c r="HGL481" s="13"/>
      <c r="HGM481" s="13"/>
      <c r="HGN481" s="13"/>
      <c r="HGO481" s="13"/>
      <c r="HGP481" s="13"/>
      <c r="HGQ481" s="13"/>
      <c r="HGR481" s="13"/>
      <c r="HGS481" s="13"/>
      <c r="HGT481" s="13"/>
      <c r="HGU481" s="13"/>
      <c r="HGV481" s="13"/>
      <c r="HGW481" s="13"/>
      <c r="HGX481" s="13"/>
      <c r="HGY481" s="13"/>
      <c r="HGZ481" s="13"/>
      <c r="HHA481" s="13"/>
      <c r="HHB481" s="13"/>
      <c r="HHC481" s="13"/>
      <c r="HHD481" s="13"/>
      <c r="HHE481" s="13"/>
      <c r="HHF481" s="13"/>
      <c r="HHG481" s="13"/>
      <c r="HHH481" s="13"/>
      <c r="HHI481" s="13"/>
      <c r="HHJ481" s="13"/>
      <c r="HHK481" s="13"/>
      <c r="HHL481" s="13"/>
      <c r="HHM481" s="13"/>
      <c r="HHN481" s="13"/>
      <c r="HHO481" s="13"/>
      <c r="HHP481" s="13"/>
      <c r="HHQ481" s="13"/>
      <c r="HHR481" s="13"/>
      <c r="HHS481" s="13"/>
      <c r="HHT481" s="13"/>
      <c r="HHU481" s="13"/>
      <c r="HHV481" s="13"/>
      <c r="HHW481" s="13"/>
      <c r="HHX481" s="13"/>
      <c r="HHY481" s="13"/>
      <c r="HHZ481" s="13"/>
      <c r="HIA481" s="13"/>
      <c r="HIB481" s="13"/>
      <c r="HIC481" s="13"/>
      <c r="HID481" s="13"/>
      <c r="HIE481" s="13"/>
      <c r="HIF481" s="13"/>
      <c r="HIG481" s="13"/>
      <c r="HIH481" s="13"/>
      <c r="HII481" s="13"/>
      <c r="HIJ481" s="13"/>
      <c r="HIK481" s="13"/>
      <c r="HIL481" s="13"/>
      <c r="HIM481" s="13"/>
      <c r="HIN481" s="13"/>
      <c r="HIO481" s="13"/>
      <c r="HIP481" s="13"/>
      <c r="HIQ481" s="13"/>
      <c r="HIR481" s="13"/>
      <c r="HIS481" s="13"/>
      <c r="HIT481" s="13"/>
      <c r="HIU481" s="13"/>
      <c r="HIV481" s="13"/>
      <c r="HIW481" s="13"/>
      <c r="HIX481" s="13"/>
      <c r="HIY481" s="13"/>
      <c r="HIZ481" s="13"/>
      <c r="HJA481" s="13"/>
      <c r="HJB481" s="13"/>
      <c r="HJC481" s="13"/>
      <c r="HJD481" s="13"/>
      <c r="HJE481" s="13"/>
      <c r="HJF481" s="13"/>
      <c r="HJG481" s="13"/>
      <c r="HJH481" s="13"/>
      <c r="HJI481" s="13"/>
      <c r="HJJ481" s="13"/>
      <c r="HJK481" s="13"/>
      <c r="HJL481" s="13"/>
      <c r="HJM481" s="13"/>
      <c r="HJN481" s="13"/>
      <c r="HJO481" s="13"/>
      <c r="HJP481" s="13"/>
      <c r="HJQ481" s="13"/>
      <c r="HJR481" s="13"/>
      <c r="HJS481" s="13"/>
      <c r="HJT481" s="13"/>
      <c r="HJU481" s="13"/>
      <c r="HJV481" s="13"/>
      <c r="HJW481" s="13"/>
      <c r="HJX481" s="13"/>
      <c r="HJY481" s="13"/>
      <c r="HJZ481" s="13"/>
      <c r="HKA481" s="13"/>
      <c r="HKB481" s="13"/>
      <c r="HKC481" s="13"/>
      <c r="HKD481" s="13"/>
      <c r="HKE481" s="13"/>
      <c r="HKF481" s="13"/>
      <c r="HKG481" s="13"/>
      <c r="HKH481" s="13"/>
      <c r="HKI481" s="13"/>
      <c r="HKJ481" s="13"/>
      <c r="HKK481" s="13"/>
      <c r="HKL481" s="13"/>
      <c r="HKM481" s="13"/>
      <c r="HKN481" s="13"/>
      <c r="HKO481" s="13"/>
      <c r="HKP481" s="13"/>
      <c r="HKQ481" s="13"/>
      <c r="HKR481" s="13"/>
      <c r="HKS481" s="13"/>
      <c r="HKT481" s="13"/>
      <c r="HKU481" s="13"/>
      <c r="HKV481" s="13"/>
      <c r="HKW481" s="13"/>
      <c r="HKX481" s="13"/>
      <c r="HKY481" s="13"/>
      <c r="HKZ481" s="13"/>
      <c r="HLA481" s="13"/>
      <c r="HLB481" s="13"/>
      <c r="HLC481" s="13"/>
      <c r="HLD481" s="13"/>
      <c r="HLE481" s="13"/>
      <c r="HLF481" s="13"/>
      <c r="HLG481" s="13"/>
      <c r="HLH481" s="13"/>
      <c r="HLI481" s="13"/>
      <c r="HLJ481" s="13"/>
      <c r="HLK481" s="13"/>
      <c r="HLL481" s="13"/>
      <c r="HLM481" s="13"/>
      <c r="HLN481" s="13"/>
      <c r="HLO481" s="13"/>
      <c r="HLP481" s="13"/>
      <c r="HLQ481" s="13"/>
      <c r="HLR481" s="13"/>
      <c r="HLS481" s="13"/>
      <c r="HLT481" s="13"/>
      <c r="HLU481" s="13"/>
      <c r="HLV481" s="13"/>
      <c r="HLW481" s="13"/>
      <c r="HLX481" s="13"/>
      <c r="HLY481" s="13"/>
      <c r="HLZ481" s="13"/>
      <c r="HMA481" s="13"/>
      <c r="HMB481" s="13"/>
      <c r="HMC481" s="13"/>
      <c r="HMD481" s="13"/>
      <c r="HME481" s="13"/>
      <c r="HMF481" s="13"/>
      <c r="HMG481" s="13"/>
      <c r="HMH481" s="13"/>
      <c r="HMI481" s="13"/>
      <c r="HMJ481" s="13"/>
      <c r="HMK481" s="13"/>
      <c r="HML481" s="13"/>
      <c r="HMM481" s="13"/>
      <c r="HMN481" s="13"/>
      <c r="HMO481" s="13"/>
      <c r="HMP481" s="13"/>
      <c r="HMQ481" s="13"/>
      <c r="HMR481" s="13"/>
      <c r="HMS481" s="13"/>
      <c r="HMT481" s="13"/>
      <c r="HMU481" s="13"/>
      <c r="HMV481" s="13"/>
      <c r="HMW481" s="13"/>
      <c r="HMX481" s="13"/>
      <c r="HMY481" s="13"/>
      <c r="HMZ481" s="13"/>
      <c r="HNA481" s="13"/>
      <c r="HNB481" s="13"/>
      <c r="HNC481" s="13"/>
      <c r="HND481" s="13"/>
      <c r="HNE481" s="13"/>
      <c r="HNF481" s="13"/>
      <c r="HNG481" s="13"/>
      <c r="HNH481" s="13"/>
      <c r="HNI481" s="13"/>
      <c r="HNJ481" s="13"/>
      <c r="HNK481" s="13"/>
      <c r="HNL481" s="13"/>
      <c r="HNM481" s="13"/>
      <c r="HNN481" s="13"/>
      <c r="HNO481" s="13"/>
      <c r="HNP481" s="13"/>
      <c r="HNQ481" s="13"/>
      <c r="HNR481" s="13"/>
      <c r="HNS481" s="13"/>
      <c r="HNT481" s="13"/>
      <c r="HNU481" s="13"/>
      <c r="HNV481" s="13"/>
      <c r="HNW481" s="13"/>
      <c r="HNX481" s="13"/>
      <c r="HNY481" s="13"/>
      <c r="HNZ481" s="13"/>
      <c r="HOA481" s="13"/>
      <c r="HOB481" s="13"/>
      <c r="HOC481" s="13"/>
      <c r="HOD481" s="13"/>
      <c r="HOE481" s="13"/>
      <c r="HOF481" s="13"/>
      <c r="HOG481" s="13"/>
      <c r="HOH481" s="13"/>
      <c r="HOI481" s="13"/>
      <c r="HOJ481" s="13"/>
      <c r="HOK481" s="13"/>
      <c r="HOL481" s="13"/>
      <c r="HOM481" s="13"/>
      <c r="HON481" s="13"/>
      <c r="HOO481" s="13"/>
      <c r="HOP481" s="13"/>
      <c r="HOQ481" s="13"/>
      <c r="HOR481" s="13"/>
      <c r="HOS481" s="13"/>
      <c r="HOT481" s="13"/>
      <c r="HOU481" s="13"/>
      <c r="HOV481" s="13"/>
      <c r="HOW481" s="13"/>
      <c r="HOX481" s="13"/>
      <c r="HOY481" s="13"/>
      <c r="HOZ481" s="13"/>
      <c r="HPA481" s="13"/>
      <c r="HPB481" s="13"/>
      <c r="HPC481" s="13"/>
      <c r="HPD481" s="13"/>
      <c r="HPE481" s="13"/>
      <c r="HPF481" s="13"/>
      <c r="HPG481" s="13"/>
      <c r="HPH481" s="13"/>
      <c r="HPI481" s="13"/>
      <c r="HPJ481" s="13"/>
      <c r="HPK481" s="13"/>
      <c r="HPL481" s="13"/>
      <c r="HPM481" s="13"/>
      <c r="HPN481" s="13"/>
      <c r="HPO481" s="13"/>
      <c r="HPP481" s="13"/>
      <c r="HPQ481" s="13"/>
      <c r="HPR481" s="13"/>
      <c r="HPS481" s="13"/>
      <c r="HPT481" s="13"/>
      <c r="HPU481" s="13"/>
      <c r="HPV481" s="13"/>
      <c r="HPW481" s="13"/>
      <c r="HPX481" s="13"/>
      <c r="HPY481" s="13"/>
      <c r="HPZ481" s="13"/>
      <c r="HQA481" s="13"/>
      <c r="HQB481" s="13"/>
      <c r="HQC481" s="13"/>
      <c r="HQD481" s="13"/>
      <c r="HQE481" s="13"/>
      <c r="HQF481" s="13"/>
      <c r="HQG481" s="13"/>
      <c r="HQH481" s="13"/>
      <c r="HQI481" s="13"/>
      <c r="HQJ481" s="13"/>
      <c r="HQK481" s="13"/>
      <c r="HQL481" s="13"/>
      <c r="HQM481" s="13"/>
      <c r="HQN481" s="13"/>
      <c r="HQO481" s="13"/>
      <c r="HQP481" s="13"/>
      <c r="HQQ481" s="13"/>
      <c r="HQR481" s="13"/>
      <c r="HQS481" s="13"/>
      <c r="HQT481" s="13"/>
      <c r="HQU481" s="13"/>
      <c r="HQV481" s="13"/>
      <c r="HQW481" s="13"/>
      <c r="HQX481" s="13"/>
      <c r="HQY481" s="13"/>
      <c r="HQZ481" s="13"/>
      <c r="HRA481" s="13"/>
      <c r="HRB481" s="13"/>
      <c r="HRC481" s="13"/>
      <c r="HRD481" s="13"/>
      <c r="HRE481" s="13"/>
      <c r="HRF481" s="13"/>
      <c r="HRG481" s="13"/>
      <c r="HRH481" s="13"/>
      <c r="HRI481" s="13"/>
      <c r="HRJ481" s="13"/>
      <c r="HRK481" s="13"/>
      <c r="HRL481" s="13"/>
      <c r="HRM481" s="13"/>
      <c r="HRN481" s="13"/>
      <c r="HRO481" s="13"/>
      <c r="HRP481" s="13"/>
      <c r="HRQ481" s="13"/>
      <c r="HRR481" s="13"/>
      <c r="HRS481" s="13"/>
      <c r="HRT481" s="13"/>
      <c r="HRU481" s="13"/>
      <c r="HRV481" s="13"/>
      <c r="HRW481" s="13"/>
      <c r="HRX481" s="13"/>
      <c r="HRY481" s="13"/>
      <c r="HRZ481" s="13"/>
      <c r="HSA481" s="13"/>
      <c r="HSB481" s="13"/>
      <c r="HSC481" s="13"/>
      <c r="HSD481" s="13"/>
      <c r="HSE481" s="13"/>
      <c r="HSF481" s="13"/>
      <c r="HSG481" s="13"/>
      <c r="HSH481" s="13"/>
      <c r="HSI481" s="13"/>
      <c r="HSJ481" s="13"/>
      <c r="HSK481" s="13"/>
      <c r="HSL481" s="13"/>
      <c r="HSM481" s="13"/>
      <c r="HSN481" s="13"/>
      <c r="HSO481" s="13"/>
      <c r="HSP481" s="13"/>
      <c r="HSQ481" s="13"/>
      <c r="HSR481" s="13"/>
      <c r="HSS481" s="13"/>
      <c r="HST481" s="13"/>
      <c r="HSU481" s="13"/>
      <c r="HSV481" s="13"/>
      <c r="HSW481" s="13"/>
      <c r="HSX481" s="13"/>
      <c r="HSY481" s="13"/>
      <c r="HSZ481" s="13"/>
      <c r="HTA481" s="13"/>
      <c r="HTB481" s="13"/>
      <c r="HTC481" s="13"/>
      <c r="HTD481" s="13"/>
      <c r="HTE481" s="13"/>
      <c r="HTF481" s="13"/>
      <c r="HTG481" s="13"/>
      <c r="HTH481" s="13"/>
      <c r="HTI481" s="13"/>
      <c r="HTJ481" s="13"/>
      <c r="HTK481" s="13"/>
      <c r="HTL481" s="13"/>
      <c r="HTM481" s="13"/>
      <c r="HTN481" s="13"/>
      <c r="HTO481" s="13"/>
      <c r="HTP481" s="13"/>
      <c r="HTQ481" s="13"/>
      <c r="HTR481" s="13"/>
      <c r="HTS481" s="13"/>
      <c r="HTT481" s="13"/>
      <c r="HTU481" s="13"/>
      <c r="HTV481" s="13"/>
      <c r="HTW481" s="13"/>
      <c r="HTX481" s="13"/>
      <c r="HTY481" s="13"/>
      <c r="HTZ481" s="13"/>
      <c r="HUA481" s="13"/>
      <c r="HUB481" s="13"/>
      <c r="HUC481" s="13"/>
      <c r="HUD481" s="13"/>
      <c r="HUE481" s="13"/>
      <c r="HUF481" s="13"/>
      <c r="HUG481" s="13"/>
      <c r="HUH481" s="13"/>
      <c r="HUI481" s="13"/>
      <c r="HUJ481" s="13"/>
      <c r="HUK481" s="13"/>
      <c r="HUL481" s="13"/>
      <c r="HUM481" s="13"/>
      <c r="HUN481" s="13"/>
      <c r="HUO481" s="13"/>
      <c r="HUP481" s="13"/>
      <c r="HUQ481" s="13"/>
      <c r="HUR481" s="13"/>
      <c r="HUS481" s="13"/>
      <c r="HUT481" s="13"/>
      <c r="HUU481" s="13"/>
      <c r="HUV481" s="13"/>
      <c r="HUW481" s="13"/>
      <c r="HUX481" s="13"/>
      <c r="HUY481" s="13"/>
      <c r="HUZ481" s="13"/>
      <c r="HVA481" s="13"/>
      <c r="HVB481" s="13"/>
      <c r="HVC481" s="13"/>
      <c r="HVD481" s="13"/>
      <c r="HVE481" s="13"/>
      <c r="HVF481" s="13"/>
      <c r="HVG481" s="13"/>
      <c r="HVH481" s="13"/>
      <c r="HVI481" s="13"/>
      <c r="HVJ481" s="13"/>
      <c r="HVK481" s="13"/>
      <c r="HVL481" s="13"/>
      <c r="HVM481" s="13"/>
      <c r="HVN481" s="13"/>
      <c r="HVO481" s="13"/>
      <c r="HVP481" s="13"/>
      <c r="HVQ481" s="13"/>
      <c r="HVR481" s="13"/>
      <c r="HVS481" s="13"/>
      <c r="HVT481" s="13"/>
      <c r="HVU481" s="13"/>
      <c r="HVV481" s="13"/>
      <c r="HVW481" s="13"/>
      <c r="HVX481" s="13"/>
      <c r="HVY481" s="13"/>
      <c r="HVZ481" s="13"/>
      <c r="HWA481" s="13"/>
      <c r="HWB481" s="13"/>
      <c r="HWC481" s="13"/>
      <c r="HWD481" s="13"/>
      <c r="HWE481" s="13"/>
      <c r="HWF481" s="13"/>
      <c r="HWG481" s="13"/>
      <c r="HWH481" s="13"/>
      <c r="HWI481" s="13"/>
      <c r="HWJ481" s="13"/>
      <c r="HWK481" s="13"/>
      <c r="HWL481" s="13"/>
      <c r="HWM481" s="13"/>
      <c r="HWN481" s="13"/>
      <c r="HWO481" s="13"/>
      <c r="HWP481" s="13"/>
      <c r="HWQ481" s="13"/>
      <c r="HWR481" s="13"/>
      <c r="HWS481" s="13"/>
      <c r="HWT481" s="13"/>
      <c r="HWU481" s="13"/>
      <c r="HWV481" s="13"/>
      <c r="HWW481" s="13"/>
      <c r="HWX481" s="13"/>
      <c r="HWY481" s="13"/>
      <c r="HWZ481" s="13"/>
      <c r="HXA481" s="13"/>
      <c r="HXB481" s="13"/>
      <c r="HXC481" s="13"/>
      <c r="HXD481" s="13"/>
      <c r="HXE481" s="13"/>
      <c r="HXF481" s="13"/>
      <c r="HXG481" s="13"/>
      <c r="HXH481" s="13"/>
      <c r="HXI481" s="13"/>
      <c r="HXJ481" s="13"/>
      <c r="HXK481" s="13"/>
      <c r="HXL481" s="13"/>
      <c r="HXM481" s="13"/>
      <c r="HXN481" s="13"/>
      <c r="HXO481" s="13"/>
      <c r="HXP481" s="13"/>
      <c r="HXQ481" s="13"/>
      <c r="HXR481" s="13"/>
      <c r="HXS481" s="13"/>
      <c r="HXT481" s="13"/>
      <c r="HXU481" s="13"/>
      <c r="HXV481" s="13"/>
      <c r="HXW481" s="13"/>
      <c r="HXX481" s="13"/>
      <c r="HXY481" s="13"/>
      <c r="HXZ481" s="13"/>
      <c r="HYA481" s="13"/>
      <c r="HYB481" s="13"/>
      <c r="HYC481" s="13"/>
      <c r="HYD481" s="13"/>
      <c r="HYE481" s="13"/>
      <c r="HYF481" s="13"/>
      <c r="HYG481" s="13"/>
      <c r="HYH481" s="13"/>
      <c r="HYI481" s="13"/>
      <c r="HYJ481" s="13"/>
      <c r="HYK481" s="13"/>
      <c r="HYL481" s="13"/>
      <c r="HYM481" s="13"/>
      <c r="HYN481" s="13"/>
      <c r="HYO481" s="13"/>
      <c r="HYP481" s="13"/>
      <c r="HYQ481" s="13"/>
      <c r="HYR481" s="13"/>
      <c r="HYS481" s="13"/>
      <c r="HYT481" s="13"/>
      <c r="HYU481" s="13"/>
      <c r="HYV481" s="13"/>
      <c r="HYW481" s="13"/>
      <c r="HYX481" s="13"/>
      <c r="HYY481" s="13"/>
      <c r="HYZ481" s="13"/>
      <c r="HZA481" s="13"/>
      <c r="HZB481" s="13"/>
      <c r="HZC481" s="13"/>
      <c r="HZD481" s="13"/>
      <c r="HZE481" s="13"/>
      <c r="HZF481" s="13"/>
      <c r="HZG481" s="13"/>
      <c r="HZH481" s="13"/>
      <c r="HZI481" s="13"/>
      <c r="HZJ481" s="13"/>
      <c r="HZK481" s="13"/>
      <c r="HZL481" s="13"/>
      <c r="HZM481" s="13"/>
      <c r="HZN481" s="13"/>
      <c r="HZO481" s="13"/>
      <c r="HZP481" s="13"/>
      <c r="HZQ481" s="13"/>
      <c r="HZR481" s="13"/>
      <c r="HZS481" s="13"/>
      <c r="HZT481" s="13"/>
      <c r="HZU481" s="13"/>
      <c r="HZV481" s="13"/>
      <c r="HZW481" s="13"/>
      <c r="HZX481" s="13"/>
      <c r="HZY481" s="13"/>
      <c r="HZZ481" s="13"/>
      <c r="IAA481" s="13"/>
      <c r="IAB481" s="13"/>
      <c r="IAC481" s="13"/>
      <c r="IAD481" s="13"/>
      <c r="IAE481" s="13"/>
      <c r="IAF481" s="13"/>
      <c r="IAG481" s="13"/>
      <c r="IAH481" s="13"/>
      <c r="IAI481" s="13"/>
      <c r="IAJ481" s="13"/>
      <c r="IAK481" s="13"/>
      <c r="IAL481" s="13"/>
      <c r="IAM481" s="13"/>
      <c r="IAN481" s="13"/>
      <c r="IAO481" s="13"/>
      <c r="IAP481" s="13"/>
      <c r="IAQ481" s="13"/>
      <c r="IAR481" s="13"/>
      <c r="IAS481" s="13"/>
      <c r="IAT481" s="13"/>
      <c r="IAU481" s="13"/>
      <c r="IAV481" s="13"/>
      <c r="IAW481" s="13"/>
      <c r="IAX481" s="13"/>
      <c r="IAY481" s="13"/>
      <c r="IAZ481" s="13"/>
      <c r="IBA481" s="13"/>
      <c r="IBB481" s="13"/>
      <c r="IBC481" s="13"/>
      <c r="IBD481" s="13"/>
      <c r="IBE481" s="13"/>
      <c r="IBF481" s="13"/>
      <c r="IBG481" s="13"/>
      <c r="IBH481" s="13"/>
      <c r="IBI481" s="13"/>
      <c r="IBJ481" s="13"/>
      <c r="IBK481" s="13"/>
      <c r="IBL481" s="13"/>
      <c r="IBM481" s="13"/>
      <c r="IBN481" s="13"/>
      <c r="IBO481" s="13"/>
      <c r="IBP481" s="13"/>
      <c r="IBQ481" s="13"/>
      <c r="IBR481" s="13"/>
      <c r="IBS481" s="13"/>
      <c r="IBT481" s="13"/>
      <c r="IBU481" s="13"/>
      <c r="IBV481" s="13"/>
      <c r="IBW481" s="13"/>
      <c r="IBX481" s="13"/>
      <c r="IBY481" s="13"/>
      <c r="IBZ481" s="13"/>
      <c r="ICA481" s="13"/>
      <c r="ICB481" s="13"/>
      <c r="ICC481" s="13"/>
      <c r="ICD481" s="13"/>
      <c r="ICE481" s="13"/>
      <c r="ICF481" s="13"/>
      <c r="ICG481" s="13"/>
      <c r="ICH481" s="13"/>
      <c r="ICI481" s="13"/>
      <c r="ICJ481" s="13"/>
      <c r="ICK481" s="13"/>
      <c r="ICL481" s="13"/>
      <c r="ICM481" s="13"/>
      <c r="ICN481" s="13"/>
      <c r="ICO481" s="13"/>
      <c r="ICP481" s="13"/>
      <c r="ICQ481" s="13"/>
      <c r="ICR481" s="13"/>
      <c r="ICS481" s="13"/>
      <c r="ICT481" s="13"/>
      <c r="ICU481" s="13"/>
      <c r="ICV481" s="13"/>
      <c r="ICW481" s="13"/>
      <c r="ICX481" s="13"/>
      <c r="ICY481" s="13"/>
      <c r="ICZ481" s="13"/>
      <c r="IDA481" s="13"/>
      <c r="IDB481" s="13"/>
      <c r="IDC481" s="13"/>
      <c r="IDD481" s="13"/>
      <c r="IDE481" s="13"/>
      <c r="IDF481" s="13"/>
      <c r="IDG481" s="13"/>
      <c r="IDH481" s="13"/>
      <c r="IDI481" s="13"/>
      <c r="IDJ481" s="13"/>
      <c r="IDK481" s="13"/>
      <c r="IDL481" s="13"/>
      <c r="IDM481" s="13"/>
      <c r="IDN481" s="13"/>
      <c r="IDO481" s="13"/>
      <c r="IDP481" s="13"/>
      <c r="IDQ481" s="13"/>
      <c r="IDR481" s="13"/>
      <c r="IDS481" s="13"/>
      <c r="IDT481" s="13"/>
      <c r="IDU481" s="13"/>
      <c r="IDV481" s="13"/>
      <c r="IDW481" s="13"/>
      <c r="IDX481" s="13"/>
      <c r="IDY481" s="13"/>
      <c r="IDZ481" s="13"/>
      <c r="IEA481" s="13"/>
      <c r="IEB481" s="13"/>
      <c r="IEC481" s="13"/>
      <c r="IED481" s="13"/>
      <c r="IEE481" s="13"/>
      <c r="IEF481" s="13"/>
      <c r="IEG481" s="13"/>
      <c r="IEH481" s="13"/>
      <c r="IEI481" s="13"/>
      <c r="IEJ481" s="13"/>
      <c r="IEK481" s="13"/>
      <c r="IEL481" s="13"/>
      <c r="IEM481" s="13"/>
      <c r="IEN481" s="13"/>
      <c r="IEO481" s="13"/>
      <c r="IEP481" s="13"/>
      <c r="IEQ481" s="13"/>
      <c r="IER481" s="13"/>
      <c r="IES481" s="13"/>
      <c r="IET481" s="13"/>
      <c r="IEU481" s="13"/>
      <c r="IEV481" s="13"/>
      <c r="IEW481" s="13"/>
      <c r="IEX481" s="13"/>
      <c r="IEY481" s="13"/>
      <c r="IEZ481" s="13"/>
      <c r="IFA481" s="13"/>
      <c r="IFB481" s="13"/>
      <c r="IFC481" s="13"/>
      <c r="IFD481" s="13"/>
      <c r="IFE481" s="13"/>
      <c r="IFF481" s="13"/>
      <c r="IFG481" s="13"/>
      <c r="IFH481" s="13"/>
      <c r="IFI481" s="13"/>
      <c r="IFJ481" s="13"/>
      <c r="IFK481" s="13"/>
      <c r="IFL481" s="13"/>
      <c r="IFM481" s="13"/>
      <c r="IFN481" s="13"/>
      <c r="IFO481" s="13"/>
      <c r="IFP481" s="13"/>
      <c r="IFQ481" s="13"/>
      <c r="IFR481" s="13"/>
      <c r="IFS481" s="13"/>
      <c r="IFT481" s="13"/>
      <c r="IFU481" s="13"/>
      <c r="IFV481" s="13"/>
      <c r="IFW481" s="13"/>
      <c r="IFX481" s="13"/>
      <c r="IFY481" s="13"/>
      <c r="IFZ481" s="13"/>
      <c r="IGA481" s="13"/>
      <c r="IGB481" s="13"/>
      <c r="IGC481" s="13"/>
      <c r="IGD481" s="13"/>
      <c r="IGE481" s="13"/>
      <c r="IGF481" s="13"/>
      <c r="IGG481" s="13"/>
      <c r="IGH481" s="13"/>
      <c r="IGI481" s="13"/>
      <c r="IGJ481" s="13"/>
      <c r="IGK481" s="13"/>
      <c r="IGL481" s="13"/>
      <c r="IGM481" s="13"/>
      <c r="IGN481" s="13"/>
      <c r="IGO481" s="13"/>
      <c r="IGP481" s="13"/>
      <c r="IGQ481" s="13"/>
      <c r="IGR481" s="13"/>
      <c r="IGS481" s="13"/>
      <c r="IGT481" s="13"/>
      <c r="IGU481" s="13"/>
      <c r="IGV481" s="13"/>
      <c r="IGW481" s="13"/>
      <c r="IGX481" s="13"/>
      <c r="IGY481" s="13"/>
      <c r="IGZ481" s="13"/>
      <c r="IHA481" s="13"/>
      <c r="IHB481" s="13"/>
      <c r="IHC481" s="13"/>
      <c r="IHD481" s="13"/>
      <c r="IHE481" s="13"/>
      <c r="IHF481" s="13"/>
      <c r="IHG481" s="13"/>
      <c r="IHH481" s="13"/>
      <c r="IHI481" s="13"/>
      <c r="IHJ481" s="13"/>
      <c r="IHK481" s="13"/>
      <c r="IHL481" s="13"/>
      <c r="IHM481" s="13"/>
      <c r="IHN481" s="13"/>
      <c r="IHO481" s="13"/>
      <c r="IHP481" s="13"/>
      <c r="IHQ481" s="13"/>
      <c r="IHR481" s="13"/>
      <c r="IHS481" s="13"/>
      <c r="IHT481" s="13"/>
      <c r="IHU481" s="13"/>
      <c r="IHV481" s="13"/>
      <c r="IHW481" s="13"/>
      <c r="IHX481" s="13"/>
      <c r="IHY481" s="13"/>
      <c r="IHZ481" s="13"/>
      <c r="IIA481" s="13"/>
      <c r="IIB481" s="13"/>
      <c r="IIC481" s="13"/>
      <c r="IID481" s="13"/>
      <c r="IIE481" s="13"/>
      <c r="IIF481" s="13"/>
      <c r="IIG481" s="13"/>
      <c r="IIH481" s="13"/>
      <c r="III481" s="13"/>
      <c r="IIJ481" s="13"/>
      <c r="IIK481" s="13"/>
      <c r="IIL481" s="13"/>
      <c r="IIM481" s="13"/>
      <c r="IIN481" s="13"/>
      <c r="IIO481" s="13"/>
      <c r="IIP481" s="13"/>
      <c r="IIQ481" s="13"/>
      <c r="IIR481" s="13"/>
      <c r="IIS481" s="13"/>
      <c r="IIT481" s="13"/>
      <c r="IIU481" s="13"/>
      <c r="IIV481" s="13"/>
      <c r="IIW481" s="13"/>
      <c r="IIX481" s="13"/>
      <c r="IIY481" s="13"/>
      <c r="IIZ481" s="13"/>
      <c r="IJA481" s="13"/>
      <c r="IJB481" s="13"/>
      <c r="IJC481" s="13"/>
      <c r="IJD481" s="13"/>
      <c r="IJE481" s="13"/>
      <c r="IJF481" s="13"/>
      <c r="IJG481" s="13"/>
      <c r="IJH481" s="13"/>
      <c r="IJI481" s="13"/>
      <c r="IJJ481" s="13"/>
      <c r="IJK481" s="13"/>
      <c r="IJL481" s="13"/>
      <c r="IJM481" s="13"/>
      <c r="IJN481" s="13"/>
      <c r="IJO481" s="13"/>
      <c r="IJP481" s="13"/>
      <c r="IJQ481" s="13"/>
      <c r="IJR481" s="13"/>
      <c r="IJS481" s="13"/>
      <c r="IJT481" s="13"/>
      <c r="IJU481" s="13"/>
      <c r="IJV481" s="13"/>
      <c r="IJW481" s="13"/>
      <c r="IJX481" s="13"/>
      <c r="IJY481" s="13"/>
      <c r="IJZ481" s="13"/>
      <c r="IKA481" s="13"/>
      <c r="IKB481" s="13"/>
      <c r="IKC481" s="13"/>
      <c r="IKD481" s="13"/>
      <c r="IKE481" s="13"/>
      <c r="IKF481" s="13"/>
      <c r="IKG481" s="13"/>
      <c r="IKH481" s="13"/>
      <c r="IKI481" s="13"/>
      <c r="IKJ481" s="13"/>
      <c r="IKK481" s="13"/>
      <c r="IKL481" s="13"/>
      <c r="IKM481" s="13"/>
      <c r="IKN481" s="13"/>
      <c r="IKO481" s="13"/>
      <c r="IKP481" s="13"/>
      <c r="IKQ481" s="13"/>
      <c r="IKR481" s="13"/>
      <c r="IKS481" s="13"/>
      <c r="IKT481" s="13"/>
      <c r="IKU481" s="13"/>
      <c r="IKV481" s="13"/>
      <c r="IKW481" s="13"/>
      <c r="IKX481" s="13"/>
      <c r="IKY481" s="13"/>
      <c r="IKZ481" s="13"/>
      <c r="ILA481" s="13"/>
      <c r="ILB481" s="13"/>
      <c r="ILC481" s="13"/>
      <c r="ILD481" s="13"/>
      <c r="ILE481" s="13"/>
      <c r="ILF481" s="13"/>
      <c r="ILG481" s="13"/>
      <c r="ILH481" s="13"/>
      <c r="ILI481" s="13"/>
      <c r="ILJ481" s="13"/>
      <c r="ILK481" s="13"/>
      <c r="ILL481" s="13"/>
      <c r="ILM481" s="13"/>
      <c r="ILN481" s="13"/>
      <c r="ILO481" s="13"/>
      <c r="ILP481" s="13"/>
      <c r="ILQ481" s="13"/>
      <c r="ILR481" s="13"/>
      <c r="ILS481" s="13"/>
      <c r="ILT481" s="13"/>
      <c r="ILU481" s="13"/>
      <c r="ILV481" s="13"/>
      <c r="ILW481" s="13"/>
      <c r="ILX481" s="13"/>
      <c r="ILY481" s="13"/>
      <c r="ILZ481" s="13"/>
      <c r="IMA481" s="13"/>
      <c r="IMB481" s="13"/>
      <c r="IMC481" s="13"/>
      <c r="IMD481" s="13"/>
      <c r="IME481" s="13"/>
      <c r="IMF481" s="13"/>
      <c r="IMG481" s="13"/>
      <c r="IMH481" s="13"/>
      <c r="IMI481" s="13"/>
      <c r="IMJ481" s="13"/>
      <c r="IMK481" s="13"/>
      <c r="IML481" s="13"/>
      <c r="IMM481" s="13"/>
      <c r="IMN481" s="13"/>
      <c r="IMO481" s="13"/>
      <c r="IMP481" s="13"/>
      <c r="IMQ481" s="13"/>
      <c r="IMR481" s="13"/>
      <c r="IMS481" s="13"/>
      <c r="IMT481" s="13"/>
      <c r="IMU481" s="13"/>
      <c r="IMV481" s="13"/>
      <c r="IMW481" s="13"/>
      <c r="IMX481" s="13"/>
      <c r="IMY481" s="13"/>
      <c r="IMZ481" s="13"/>
      <c r="INA481" s="13"/>
      <c r="INB481" s="13"/>
      <c r="INC481" s="13"/>
      <c r="IND481" s="13"/>
      <c r="INE481" s="13"/>
      <c r="INF481" s="13"/>
      <c r="ING481" s="13"/>
      <c r="INH481" s="13"/>
      <c r="INI481" s="13"/>
      <c r="INJ481" s="13"/>
      <c r="INK481" s="13"/>
      <c r="INL481" s="13"/>
      <c r="INM481" s="13"/>
      <c r="INN481" s="13"/>
      <c r="INO481" s="13"/>
      <c r="INP481" s="13"/>
      <c r="INQ481" s="13"/>
      <c r="INR481" s="13"/>
      <c r="INS481" s="13"/>
      <c r="INT481" s="13"/>
      <c r="INU481" s="13"/>
      <c r="INV481" s="13"/>
      <c r="INW481" s="13"/>
      <c r="INX481" s="13"/>
      <c r="INY481" s="13"/>
      <c r="INZ481" s="13"/>
      <c r="IOA481" s="13"/>
      <c r="IOB481" s="13"/>
      <c r="IOC481" s="13"/>
      <c r="IOD481" s="13"/>
      <c r="IOE481" s="13"/>
      <c r="IOF481" s="13"/>
      <c r="IOG481" s="13"/>
      <c r="IOH481" s="13"/>
      <c r="IOI481" s="13"/>
      <c r="IOJ481" s="13"/>
      <c r="IOK481" s="13"/>
      <c r="IOL481" s="13"/>
      <c r="IOM481" s="13"/>
      <c r="ION481" s="13"/>
      <c r="IOO481" s="13"/>
      <c r="IOP481" s="13"/>
      <c r="IOQ481" s="13"/>
      <c r="IOR481" s="13"/>
      <c r="IOS481" s="13"/>
      <c r="IOT481" s="13"/>
      <c r="IOU481" s="13"/>
      <c r="IOV481" s="13"/>
      <c r="IOW481" s="13"/>
      <c r="IOX481" s="13"/>
      <c r="IOY481" s="13"/>
      <c r="IOZ481" s="13"/>
      <c r="IPA481" s="13"/>
      <c r="IPB481" s="13"/>
      <c r="IPC481" s="13"/>
      <c r="IPD481" s="13"/>
      <c r="IPE481" s="13"/>
      <c r="IPF481" s="13"/>
      <c r="IPG481" s="13"/>
      <c r="IPH481" s="13"/>
      <c r="IPI481" s="13"/>
      <c r="IPJ481" s="13"/>
      <c r="IPK481" s="13"/>
      <c r="IPL481" s="13"/>
      <c r="IPM481" s="13"/>
      <c r="IPN481" s="13"/>
      <c r="IPO481" s="13"/>
      <c r="IPP481" s="13"/>
      <c r="IPQ481" s="13"/>
      <c r="IPR481" s="13"/>
      <c r="IPS481" s="13"/>
      <c r="IPT481" s="13"/>
      <c r="IPU481" s="13"/>
      <c r="IPV481" s="13"/>
      <c r="IPW481" s="13"/>
      <c r="IPX481" s="13"/>
      <c r="IPY481" s="13"/>
      <c r="IPZ481" s="13"/>
      <c r="IQA481" s="13"/>
      <c r="IQB481" s="13"/>
      <c r="IQC481" s="13"/>
      <c r="IQD481" s="13"/>
      <c r="IQE481" s="13"/>
      <c r="IQF481" s="13"/>
      <c r="IQG481" s="13"/>
      <c r="IQH481" s="13"/>
      <c r="IQI481" s="13"/>
      <c r="IQJ481" s="13"/>
      <c r="IQK481" s="13"/>
      <c r="IQL481" s="13"/>
      <c r="IQM481" s="13"/>
      <c r="IQN481" s="13"/>
      <c r="IQO481" s="13"/>
      <c r="IQP481" s="13"/>
      <c r="IQQ481" s="13"/>
      <c r="IQR481" s="13"/>
      <c r="IQS481" s="13"/>
      <c r="IQT481" s="13"/>
      <c r="IQU481" s="13"/>
      <c r="IQV481" s="13"/>
      <c r="IQW481" s="13"/>
      <c r="IQX481" s="13"/>
      <c r="IQY481" s="13"/>
      <c r="IQZ481" s="13"/>
      <c r="IRA481" s="13"/>
      <c r="IRB481" s="13"/>
      <c r="IRC481" s="13"/>
      <c r="IRD481" s="13"/>
      <c r="IRE481" s="13"/>
      <c r="IRF481" s="13"/>
      <c r="IRG481" s="13"/>
      <c r="IRH481" s="13"/>
      <c r="IRI481" s="13"/>
      <c r="IRJ481" s="13"/>
      <c r="IRK481" s="13"/>
      <c r="IRL481" s="13"/>
      <c r="IRM481" s="13"/>
      <c r="IRN481" s="13"/>
      <c r="IRO481" s="13"/>
      <c r="IRP481" s="13"/>
      <c r="IRQ481" s="13"/>
      <c r="IRR481" s="13"/>
      <c r="IRS481" s="13"/>
      <c r="IRT481" s="13"/>
      <c r="IRU481" s="13"/>
      <c r="IRV481" s="13"/>
      <c r="IRW481" s="13"/>
      <c r="IRX481" s="13"/>
      <c r="IRY481" s="13"/>
      <c r="IRZ481" s="13"/>
      <c r="ISA481" s="13"/>
      <c r="ISB481" s="13"/>
      <c r="ISC481" s="13"/>
      <c r="ISD481" s="13"/>
      <c r="ISE481" s="13"/>
      <c r="ISF481" s="13"/>
      <c r="ISG481" s="13"/>
      <c r="ISH481" s="13"/>
      <c r="ISI481" s="13"/>
      <c r="ISJ481" s="13"/>
      <c r="ISK481" s="13"/>
      <c r="ISL481" s="13"/>
      <c r="ISM481" s="13"/>
      <c r="ISN481" s="13"/>
      <c r="ISO481" s="13"/>
      <c r="ISP481" s="13"/>
      <c r="ISQ481" s="13"/>
      <c r="ISR481" s="13"/>
      <c r="ISS481" s="13"/>
      <c r="IST481" s="13"/>
      <c r="ISU481" s="13"/>
      <c r="ISV481" s="13"/>
      <c r="ISW481" s="13"/>
      <c r="ISX481" s="13"/>
      <c r="ISY481" s="13"/>
      <c r="ISZ481" s="13"/>
      <c r="ITA481" s="13"/>
      <c r="ITB481" s="13"/>
      <c r="ITC481" s="13"/>
      <c r="ITD481" s="13"/>
      <c r="ITE481" s="13"/>
      <c r="ITF481" s="13"/>
      <c r="ITG481" s="13"/>
      <c r="ITH481" s="13"/>
      <c r="ITI481" s="13"/>
      <c r="ITJ481" s="13"/>
      <c r="ITK481" s="13"/>
      <c r="ITL481" s="13"/>
      <c r="ITM481" s="13"/>
      <c r="ITN481" s="13"/>
      <c r="ITO481" s="13"/>
      <c r="ITP481" s="13"/>
      <c r="ITQ481" s="13"/>
      <c r="ITR481" s="13"/>
      <c r="ITS481" s="13"/>
      <c r="ITT481" s="13"/>
      <c r="ITU481" s="13"/>
      <c r="ITV481" s="13"/>
      <c r="ITW481" s="13"/>
      <c r="ITX481" s="13"/>
      <c r="ITY481" s="13"/>
      <c r="ITZ481" s="13"/>
      <c r="IUA481" s="13"/>
      <c r="IUB481" s="13"/>
      <c r="IUC481" s="13"/>
      <c r="IUD481" s="13"/>
      <c r="IUE481" s="13"/>
      <c r="IUF481" s="13"/>
      <c r="IUG481" s="13"/>
      <c r="IUH481" s="13"/>
      <c r="IUI481" s="13"/>
      <c r="IUJ481" s="13"/>
      <c r="IUK481" s="13"/>
      <c r="IUL481" s="13"/>
      <c r="IUM481" s="13"/>
      <c r="IUN481" s="13"/>
      <c r="IUO481" s="13"/>
      <c r="IUP481" s="13"/>
      <c r="IUQ481" s="13"/>
      <c r="IUR481" s="13"/>
      <c r="IUS481" s="13"/>
      <c r="IUT481" s="13"/>
      <c r="IUU481" s="13"/>
      <c r="IUV481" s="13"/>
      <c r="IUW481" s="13"/>
      <c r="IUX481" s="13"/>
      <c r="IUY481" s="13"/>
      <c r="IUZ481" s="13"/>
      <c r="IVA481" s="13"/>
      <c r="IVB481" s="13"/>
      <c r="IVC481" s="13"/>
      <c r="IVD481" s="13"/>
      <c r="IVE481" s="13"/>
      <c r="IVF481" s="13"/>
      <c r="IVG481" s="13"/>
      <c r="IVH481" s="13"/>
      <c r="IVI481" s="13"/>
      <c r="IVJ481" s="13"/>
      <c r="IVK481" s="13"/>
      <c r="IVL481" s="13"/>
      <c r="IVM481" s="13"/>
      <c r="IVN481" s="13"/>
      <c r="IVO481" s="13"/>
      <c r="IVP481" s="13"/>
      <c r="IVQ481" s="13"/>
      <c r="IVR481" s="13"/>
      <c r="IVS481" s="13"/>
      <c r="IVT481" s="13"/>
      <c r="IVU481" s="13"/>
      <c r="IVV481" s="13"/>
      <c r="IVW481" s="13"/>
      <c r="IVX481" s="13"/>
      <c r="IVY481" s="13"/>
      <c r="IVZ481" s="13"/>
      <c r="IWA481" s="13"/>
      <c r="IWB481" s="13"/>
      <c r="IWC481" s="13"/>
      <c r="IWD481" s="13"/>
      <c r="IWE481" s="13"/>
      <c r="IWF481" s="13"/>
      <c r="IWG481" s="13"/>
      <c r="IWH481" s="13"/>
      <c r="IWI481" s="13"/>
      <c r="IWJ481" s="13"/>
      <c r="IWK481" s="13"/>
      <c r="IWL481" s="13"/>
      <c r="IWM481" s="13"/>
      <c r="IWN481" s="13"/>
      <c r="IWO481" s="13"/>
      <c r="IWP481" s="13"/>
      <c r="IWQ481" s="13"/>
      <c r="IWR481" s="13"/>
      <c r="IWS481" s="13"/>
      <c r="IWT481" s="13"/>
      <c r="IWU481" s="13"/>
      <c r="IWV481" s="13"/>
      <c r="IWW481" s="13"/>
      <c r="IWX481" s="13"/>
      <c r="IWY481" s="13"/>
      <c r="IWZ481" s="13"/>
      <c r="IXA481" s="13"/>
      <c r="IXB481" s="13"/>
      <c r="IXC481" s="13"/>
      <c r="IXD481" s="13"/>
      <c r="IXE481" s="13"/>
      <c r="IXF481" s="13"/>
      <c r="IXG481" s="13"/>
      <c r="IXH481" s="13"/>
      <c r="IXI481" s="13"/>
      <c r="IXJ481" s="13"/>
      <c r="IXK481" s="13"/>
      <c r="IXL481" s="13"/>
      <c r="IXM481" s="13"/>
      <c r="IXN481" s="13"/>
      <c r="IXO481" s="13"/>
      <c r="IXP481" s="13"/>
      <c r="IXQ481" s="13"/>
      <c r="IXR481" s="13"/>
      <c r="IXS481" s="13"/>
      <c r="IXT481" s="13"/>
      <c r="IXU481" s="13"/>
      <c r="IXV481" s="13"/>
      <c r="IXW481" s="13"/>
      <c r="IXX481" s="13"/>
      <c r="IXY481" s="13"/>
      <c r="IXZ481" s="13"/>
      <c r="IYA481" s="13"/>
      <c r="IYB481" s="13"/>
      <c r="IYC481" s="13"/>
      <c r="IYD481" s="13"/>
      <c r="IYE481" s="13"/>
      <c r="IYF481" s="13"/>
      <c r="IYG481" s="13"/>
      <c r="IYH481" s="13"/>
      <c r="IYI481" s="13"/>
      <c r="IYJ481" s="13"/>
      <c r="IYK481" s="13"/>
      <c r="IYL481" s="13"/>
      <c r="IYM481" s="13"/>
      <c r="IYN481" s="13"/>
      <c r="IYO481" s="13"/>
      <c r="IYP481" s="13"/>
      <c r="IYQ481" s="13"/>
      <c r="IYR481" s="13"/>
      <c r="IYS481" s="13"/>
      <c r="IYT481" s="13"/>
      <c r="IYU481" s="13"/>
      <c r="IYV481" s="13"/>
      <c r="IYW481" s="13"/>
      <c r="IYX481" s="13"/>
      <c r="IYY481" s="13"/>
      <c r="IYZ481" s="13"/>
      <c r="IZA481" s="13"/>
      <c r="IZB481" s="13"/>
      <c r="IZC481" s="13"/>
      <c r="IZD481" s="13"/>
      <c r="IZE481" s="13"/>
      <c r="IZF481" s="13"/>
      <c r="IZG481" s="13"/>
      <c r="IZH481" s="13"/>
      <c r="IZI481" s="13"/>
      <c r="IZJ481" s="13"/>
      <c r="IZK481" s="13"/>
      <c r="IZL481" s="13"/>
      <c r="IZM481" s="13"/>
      <c r="IZN481" s="13"/>
      <c r="IZO481" s="13"/>
      <c r="IZP481" s="13"/>
      <c r="IZQ481" s="13"/>
      <c r="IZR481" s="13"/>
      <c r="IZS481" s="13"/>
      <c r="IZT481" s="13"/>
      <c r="IZU481" s="13"/>
      <c r="IZV481" s="13"/>
      <c r="IZW481" s="13"/>
      <c r="IZX481" s="13"/>
      <c r="IZY481" s="13"/>
      <c r="IZZ481" s="13"/>
      <c r="JAA481" s="13"/>
      <c r="JAB481" s="13"/>
      <c r="JAC481" s="13"/>
      <c r="JAD481" s="13"/>
      <c r="JAE481" s="13"/>
      <c r="JAF481" s="13"/>
      <c r="JAG481" s="13"/>
      <c r="JAH481" s="13"/>
      <c r="JAI481" s="13"/>
      <c r="JAJ481" s="13"/>
      <c r="JAK481" s="13"/>
      <c r="JAL481" s="13"/>
      <c r="JAM481" s="13"/>
      <c r="JAN481" s="13"/>
      <c r="JAO481" s="13"/>
      <c r="JAP481" s="13"/>
      <c r="JAQ481" s="13"/>
      <c r="JAR481" s="13"/>
      <c r="JAS481" s="13"/>
      <c r="JAT481" s="13"/>
      <c r="JAU481" s="13"/>
      <c r="JAV481" s="13"/>
      <c r="JAW481" s="13"/>
      <c r="JAX481" s="13"/>
      <c r="JAY481" s="13"/>
      <c r="JAZ481" s="13"/>
      <c r="JBA481" s="13"/>
      <c r="JBB481" s="13"/>
      <c r="JBC481" s="13"/>
      <c r="JBD481" s="13"/>
      <c r="JBE481" s="13"/>
      <c r="JBF481" s="13"/>
      <c r="JBG481" s="13"/>
      <c r="JBH481" s="13"/>
      <c r="JBI481" s="13"/>
      <c r="JBJ481" s="13"/>
      <c r="JBK481" s="13"/>
      <c r="JBL481" s="13"/>
      <c r="JBM481" s="13"/>
      <c r="JBN481" s="13"/>
      <c r="JBO481" s="13"/>
      <c r="JBP481" s="13"/>
      <c r="JBQ481" s="13"/>
      <c r="JBR481" s="13"/>
      <c r="JBS481" s="13"/>
      <c r="JBT481" s="13"/>
      <c r="JBU481" s="13"/>
      <c r="JBV481" s="13"/>
      <c r="JBW481" s="13"/>
      <c r="JBX481" s="13"/>
      <c r="JBY481" s="13"/>
      <c r="JBZ481" s="13"/>
      <c r="JCA481" s="13"/>
      <c r="JCB481" s="13"/>
      <c r="JCC481" s="13"/>
      <c r="JCD481" s="13"/>
      <c r="JCE481" s="13"/>
      <c r="JCF481" s="13"/>
      <c r="JCG481" s="13"/>
      <c r="JCH481" s="13"/>
      <c r="JCI481" s="13"/>
      <c r="JCJ481" s="13"/>
      <c r="JCK481" s="13"/>
      <c r="JCL481" s="13"/>
      <c r="JCM481" s="13"/>
      <c r="JCN481" s="13"/>
      <c r="JCO481" s="13"/>
      <c r="JCP481" s="13"/>
      <c r="JCQ481" s="13"/>
      <c r="JCR481" s="13"/>
      <c r="JCS481" s="13"/>
      <c r="JCT481" s="13"/>
      <c r="JCU481" s="13"/>
      <c r="JCV481" s="13"/>
      <c r="JCW481" s="13"/>
      <c r="JCX481" s="13"/>
      <c r="JCY481" s="13"/>
      <c r="JCZ481" s="13"/>
      <c r="JDA481" s="13"/>
      <c r="JDB481" s="13"/>
      <c r="JDC481" s="13"/>
      <c r="JDD481" s="13"/>
      <c r="JDE481" s="13"/>
      <c r="JDF481" s="13"/>
      <c r="JDG481" s="13"/>
      <c r="JDH481" s="13"/>
      <c r="JDI481" s="13"/>
      <c r="JDJ481" s="13"/>
      <c r="JDK481" s="13"/>
      <c r="JDL481" s="13"/>
      <c r="JDM481" s="13"/>
      <c r="JDN481" s="13"/>
      <c r="JDO481" s="13"/>
      <c r="JDP481" s="13"/>
      <c r="JDQ481" s="13"/>
      <c r="JDR481" s="13"/>
      <c r="JDS481" s="13"/>
      <c r="JDT481" s="13"/>
      <c r="JDU481" s="13"/>
      <c r="JDV481" s="13"/>
      <c r="JDW481" s="13"/>
      <c r="JDX481" s="13"/>
      <c r="JDY481" s="13"/>
      <c r="JDZ481" s="13"/>
      <c r="JEA481" s="13"/>
      <c r="JEB481" s="13"/>
      <c r="JEC481" s="13"/>
      <c r="JED481" s="13"/>
      <c r="JEE481" s="13"/>
      <c r="JEF481" s="13"/>
      <c r="JEG481" s="13"/>
      <c r="JEH481" s="13"/>
      <c r="JEI481" s="13"/>
      <c r="JEJ481" s="13"/>
      <c r="JEK481" s="13"/>
      <c r="JEL481" s="13"/>
      <c r="JEM481" s="13"/>
      <c r="JEN481" s="13"/>
      <c r="JEO481" s="13"/>
      <c r="JEP481" s="13"/>
      <c r="JEQ481" s="13"/>
      <c r="JER481" s="13"/>
      <c r="JES481" s="13"/>
      <c r="JET481" s="13"/>
      <c r="JEU481" s="13"/>
      <c r="JEV481" s="13"/>
      <c r="JEW481" s="13"/>
      <c r="JEX481" s="13"/>
      <c r="JEY481" s="13"/>
      <c r="JEZ481" s="13"/>
      <c r="JFA481" s="13"/>
      <c r="JFB481" s="13"/>
      <c r="JFC481" s="13"/>
      <c r="JFD481" s="13"/>
      <c r="JFE481" s="13"/>
      <c r="JFF481" s="13"/>
      <c r="JFG481" s="13"/>
      <c r="JFH481" s="13"/>
      <c r="JFI481" s="13"/>
      <c r="JFJ481" s="13"/>
      <c r="JFK481" s="13"/>
      <c r="JFL481" s="13"/>
      <c r="JFM481" s="13"/>
      <c r="JFN481" s="13"/>
      <c r="JFO481" s="13"/>
      <c r="JFP481" s="13"/>
      <c r="JFQ481" s="13"/>
      <c r="JFR481" s="13"/>
      <c r="JFS481" s="13"/>
      <c r="JFT481" s="13"/>
      <c r="JFU481" s="13"/>
      <c r="JFV481" s="13"/>
      <c r="JFW481" s="13"/>
      <c r="JFX481" s="13"/>
      <c r="JFY481" s="13"/>
      <c r="JFZ481" s="13"/>
      <c r="JGA481" s="13"/>
      <c r="JGB481" s="13"/>
      <c r="JGC481" s="13"/>
      <c r="JGD481" s="13"/>
      <c r="JGE481" s="13"/>
      <c r="JGF481" s="13"/>
      <c r="JGG481" s="13"/>
      <c r="JGH481" s="13"/>
      <c r="JGI481" s="13"/>
      <c r="JGJ481" s="13"/>
      <c r="JGK481" s="13"/>
      <c r="JGL481" s="13"/>
      <c r="JGM481" s="13"/>
      <c r="JGN481" s="13"/>
      <c r="JGO481" s="13"/>
      <c r="JGP481" s="13"/>
      <c r="JGQ481" s="13"/>
      <c r="JGR481" s="13"/>
      <c r="JGS481" s="13"/>
      <c r="JGT481" s="13"/>
      <c r="JGU481" s="13"/>
      <c r="JGV481" s="13"/>
      <c r="JGW481" s="13"/>
      <c r="JGX481" s="13"/>
      <c r="JGY481" s="13"/>
      <c r="JGZ481" s="13"/>
      <c r="JHA481" s="13"/>
      <c r="JHB481" s="13"/>
      <c r="JHC481" s="13"/>
      <c r="JHD481" s="13"/>
      <c r="JHE481" s="13"/>
      <c r="JHF481" s="13"/>
      <c r="JHG481" s="13"/>
      <c r="JHH481" s="13"/>
      <c r="JHI481" s="13"/>
      <c r="JHJ481" s="13"/>
      <c r="JHK481" s="13"/>
      <c r="JHL481" s="13"/>
      <c r="JHM481" s="13"/>
      <c r="JHN481" s="13"/>
      <c r="JHO481" s="13"/>
      <c r="JHP481" s="13"/>
      <c r="JHQ481" s="13"/>
      <c r="JHR481" s="13"/>
      <c r="JHS481" s="13"/>
      <c r="JHT481" s="13"/>
      <c r="JHU481" s="13"/>
      <c r="JHV481" s="13"/>
      <c r="JHW481" s="13"/>
      <c r="JHX481" s="13"/>
      <c r="JHY481" s="13"/>
      <c r="JHZ481" s="13"/>
      <c r="JIA481" s="13"/>
      <c r="JIB481" s="13"/>
      <c r="JIC481" s="13"/>
      <c r="JID481" s="13"/>
      <c r="JIE481" s="13"/>
      <c r="JIF481" s="13"/>
      <c r="JIG481" s="13"/>
      <c r="JIH481" s="13"/>
      <c r="JII481" s="13"/>
      <c r="JIJ481" s="13"/>
      <c r="JIK481" s="13"/>
      <c r="JIL481" s="13"/>
      <c r="JIM481" s="13"/>
      <c r="JIN481" s="13"/>
      <c r="JIO481" s="13"/>
      <c r="JIP481" s="13"/>
      <c r="JIQ481" s="13"/>
      <c r="JIR481" s="13"/>
      <c r="JIS481" s="13"/>
      <c r="JIT481" s="13"/>
      <c r="JIU481" s="13"/>
      <c r="JIV481" s="13"/>
      <c r="JIW481" s="13"/>
      <c r="JIX481" s="13"/>
      <c r="JIY481" s="13"/>
      <c r="JIZ481" s="13"/>
      <c r="JJA481" s="13"/>
      <c r="JJB481" s="13"/>
      <c r="JJC481" s="13"/>
      <c r="JJD481" s="13"/>
      <c r="JJE481" s="13"/>
      <c r="JJF481" s="13"/>
      <c r="JJG481" s="13"/>
      <c r="JJH481" s="13"/>
      <c r="JJI481" s="13"/>
      <c r="JJJ481" s="13"/>
      <c r="JJK481" s="13"/>
      <c r="JJL481" s="13"/>
      <c r="JJM481" s="13"/>
      <c r="JJN481" s="13"/>
      <c r="JJO481" s="13"/>
      <c r="JJP481" s="13"/>
      <c r="JJQ481" s="13"/>
      <c r="JJR481" s="13"/>
      <c r="JJS481" s="13"/>
      <c r="JJT481" s="13"/>
      <c r="JJU481" s="13"/>
      <c r="JJV481" s="13"/>
      <c r="JJW481" s="13"/>
      <c r="JJX481" s="13"/>
      <c r="JJY481" s="13"/>
      <c r="JJZ481" s="13"/>
      <c r="JKA481" s="13"/>
      <c r="JKB481" s="13"/>
      <c r="JKC481" s="13"/>
      <c r="JKD481" s="13"/>
      <c r="JKE481" s="13"/>
      <c r="JKF481" s="13"/>
      <c r="JKG481" s="13"/>
      <c r="JKH481" s="13"/>
      <c r="JKI481" s="13"/>
      <c r="JKJ481" s="13"/>
      <c r="JKK481" s="13"/>
      <c r="JKL481" s="13"/>
      <c r="JKM481" s="13"/>
      <c r="JKN481" s="13"/>
      <c r="JKO481" s="13"/>
      <c r="JKP481" s="13"/>
      <c r="JKQ481" s="13"/>
      <c r="JKR481" s="13"/>
      <c r="JKS481" s="13"/>
      <c r="JKT481" s="13"/>
      <c r="JKU481" s="13"/>
      <c r="JKV481" s="13"/>
      <c r="JKW481" s="13"/>
      <c r="JKX481" s="13"/>
      <c r="JKY481" s="13"/>
      <c r="JKZ481" s="13"/>
      <c r="JLA481" s="13"/>
      <c r="JLB481" s="13"/>
      <c r="JLC481" s="13"/>
      <c r="JLD481" s="13"/>
      <c r="JLE481" s="13"/>
      <c r="JLF481" s="13"/>
      <c r="JLG481" s="13"/>
      <c r="JLH481" s="13"/>
      <c r="JLI481" s="13"/>
      <c r="JLJ481" s="13"/>
      <c r="JLK481" s="13"/>
      <c r="JLL481" s="13"/>
      <c r="JLM481" s="13"/>
      <c r="JLN481" s="13"/>
      <c r="JLO481" s="13"/>
      <c r="JLP481" s="13"/>
      <c r="JLQ481" s="13"/>
      <c r="JLR481" s="13"/>
      <c r="JLS481" s="13"/>
      <c r="JLT481" s="13"/>
      <c r="JLU481" s="13"/>
      <c r="JLV481" s="13"/>
      <c r="JLW481" s="13"/>
      <c r="JLX481" s="13"/>
      <c r="JLY481" s="13"/>
      <c r="JLZ481" s="13"/>
      <c r="JMA481" s="13"/>
      <c r="JMB481" s="13"/>
      <c r="JMC481" s="13"/>
      <c r="JMD481" s="13"/>
      <c r="JME481" s="13"/>
      <c r="JMF481" s="13"/>
      <c r="JMG481" s="13"/>
      <c r="JMH481" s="13"/>
      <c r="JMI481" s="13"/>
      <c r="JMJ481" s="13"/>
      <c r="JMK481" s="13"/>
      <c r="JML481" s="13"/>
      <c r="JMM481" s="13"/>
      <c r="JMN481" s="13"/>
      <c r="JMO481" s="13"/>
      <c r="JMP481" s="13"/>
      <c r="JMQ481" s="13"/>
      <c r="JMR481" s="13"/>
      <c r="JMS481" s="13"/>
      <c r="JMT481" s="13"/>
      <c r="JMU481" s="13"/>
      <c r="JMV481" s="13"/>
      <c r="JMW481" s="13"/>
      <c r="JMX481" s="13"/>
      <c r="JMY481" s="13"/>
      <c r="JMZ481" s="13"/>
      <c r="JNA481" s="13"/>
      <c r="JNB481" s="13"/>
      <c r="JNC481" s="13"/>
      <c r="JND481" s="13"/>
      <c r="JNE481" s="13"/>
      <c r="JNF481" s="13"/>
      <c r="JNG481" s="13"/>
      <c r="JNH481" s="13"/>
      <c r="JNI481" s="13"/>
      <c r="JNJ481" s="13"/>
      <c r="JNK481" s="13"/>
      <c r="JNL481" s="13"/>
      <c r="JNM481" s="13"/>
      <c r="JNN481" s="13"/>
      <c r="JNO481" s="13"/>
      <c r="JNP481" s="13"/>
      <c r="JNQ481" s="13"/>
      <c r="JNR481" s="13"/>
      <c r="JNS481" s="13"/>
      <c r="JNT481" s="13"/>
      <c r="JNU481" s="13"/>
      <c r="JNV481" s="13"/>
      <c r="JNW481" s="13"/>
      <c r="JNX481" s="13"/>
      <c r="JNY481" s="13"/>
      <c r="JNZ481" s="13"/>
      <c r="JOA481" s="13"/>
      <c r="JOB481" s="13"/>
      <c r="JOC481" s="13"/>
      <c r="JOD481" s="13"/>
      <c r="JOE481" s="13"/>
      <c r="JOF481" s="13"/>
      <c r="JOG481" s="13"/>
      <c r="JOH481" s="13"/>
      <c r="JOI481" s="13"/>
      <c r="JOJ481" s="13"/>
      <c r="JOK481" s="13"/>
      <c r="JOL481" s="13"/>
      <c r="JOM481" s="13"/>
      <c r="JON481" s="13"/>
      <c r="JOO481" s="13"/>
      <c r="JOP481" s="13"/>
      <c r="JOQ481" s="13"/>
      <c r="JOR481" s="13"/>
      <c r="JOS481" s="13"/>
      <c r="JOT481" s="13"/>
      <c r="JOU481" s="13"/>
      <c r="JOV481" s="13"/>
      <c r="JOW481" s="13"/>
      <c r="JOX481" s="13"/>
      <c r="JOY481" s="13"/>
      <c r="JOZ481" s="13"/>
      <c r="JPA481" s="13"/>
      <c r="JPB481" s="13"/>
      <c r="JPC481" s="13"/>
      <c r="JPD481" s="13"/>
      <c r="JPE481" s="13"/>
      <c r="JPF481" s="13"/>
      <c r="JPG481" s="13"/>
      <c r="JPH481" s="13"/>
      <c r="JPI481" s="13"/>
      <c r="JPJ481" s="13"/>
      <c r="JPK481" s="13"/>
      <c r="JPL481" s="13"/>
      <c r="JPM481" s="13"/>
      <c r="JPN481" s="13"/>
      <c r="JPO481" s="13"/>
      <c r="JPP481" s="13"/>
      <c r="JPQ481" s="13"/>
      <c r="JPR481" s="13"/>
      <c r="JPS481" s="13"/>
      <c r="JPT481" s="13"/>
      <c r="JPU481" s="13"/>
      <c r="JPV481" s="13"/>
      <c r="JPW481" s="13"/>
      <c r="JPX481" s="13"/>
      <c r="JPY481" s="13"/>
      <c r="JPZ481" s="13"/>
      <c r="JQA481" s="13"/>
      <c r="JQB481" s="13"/>
      <c r="JQC481" s="13"/>
      <c r="JQD481" s="13"/>
      <c r="JQE481" s="13"/>
      <c r="JQF481" s="13"/>
      <c r="JQG481" s="13"/>
      <c r="JQH481" s="13"/>
      <c r="JQI481" s="13"/>
      <c r="JQJ481" s="13"/>
      <c r="JQK481" s="13"/>
      <c r="JQL481" s="13"/>
      <c r="JQM481" s="13"/>
      <c r="JQN481" s="13"/>
      <c r="JQO481" s="13"/>
      <c r="JQP481" s="13"/>
      <c r="JQQ481" s="13"/>
      <c r="JQR481" s="13"/>
      <c r="JQS481" s="13"/>
      <c r="JQT481" s="13"/>
      <c r="JQU481" s="13"/>
      <c r="JQV481" s="13"/>
      <c r="JQW481" s="13"/>
      <c r="JQX481" s="13"/>
      <c r="JQY481" s="13"/>
      <c r="JQZ481" s="13"/>
      <c r="JRA481" s="13"/>
      <c r="JRB481" s="13"/>
      <c r="JRC481" s="13"/>
      <c r="JRD481" s="13"/>
      <c r="JRE481" s="13"/>
      <c r="JRF481" s="13"/>
      <c r="JRG481" s="13"/>
      <c r="JRH481" s="13"/>
      <c r="JRI481" s="13"/>
      <c r="JRJ481" s="13"/>
      <c r="JRK481" s="13"/>
      <c r="JRL481" s="13"/>
      <c r="JRM481" s="13"/>
      <c r="JRN481" s="13"/>
      <c r="JRO481" s="13"/>
      <c r="JRP481" s="13"/>
      <c r="JRQ481" s="13"/>
      <c r="JRR481" s="13"/>
      <c r="JRS481" s="13"/>
      <c r="JRT481" s="13"/>
      <c r="JRU481" s="13"/>
      <c r="JRV481" s="13"/>
      <c r="JRW481" s="13"/>
      <c r="JRX481" s="13"/>
      <c r="JRY481" s="13"/>
      <c r="JRZ481" s="13"/>
      <c r="JSA481" s="13"/>
      <c r="JSB481" s="13"/>
      <c r="JSC481" s="13"/>
      <c r="JSD481" s="13"/>
      <c r="JSE481" s="13"/>
      <c r="JSF481" s="13"/>
      <c r="JSG481" s="13"/>
      <c r="JSH481" s="13"/>
      <c r="JSI481" s="13"/>
      <c r="JSJ481" s="13"/>
      <c r="JSK481" s="13"/>
      <c r="JSL481" s="13"/>
      <c r="JSM481" s="13"/>
      <c r="JSN481" s="13"/>
      <c r="JSO481" s="13"/>
      <c r="JSP481" s="13"/>
      <c r="JSQ481" s="13"/>
      <c r="JSR481" s="13"/>
      <c r="JSS481" s="13"/>
      <c r="JST481" s="13"/>
      <c r="JSU481" s="13"/>
      <c r="JSV481" s="13"/>
      <c r="JSW481" s="13"/>
      <c r="JSX481" s="13"/>
      <c r="JSY481" s="13"/>
      <c r="JSZ481" s="13"/>
      <c r="JTA481" s="13"/>
      <c r="JTB481" s="13"/>
      <c r="JTC481" s="13"/>
      <c r="JTD481" s="13"/>
      <c r="JTE481" s="13"/>
      <c r="JTF481" s="13"/>
      <c r="JTG481" s="13"/>
      <c r="JTH481" s="13"/>
      <c r="JTI481" s="13"/>
      <c r="JTJ481" s="13"/>
      <c r="JTK481" s="13"/>
      <c r="JTL481" s="13"/>
      <c r="JTM481" s="13"/>
      <c r="JTN481" s="13"/>
      <c r="JTO481" s="13"/>
      <c r="JTP481" s="13"/>
      <c r="JTQ481" s="13"/>
      <c r="JTR481" s="13"/>
      <c r="JTS481" s="13"/>
      <c r="JTT481" s="13"/>
      <c r="JTU481" s="13"/>
      <c r="JTV481" s="13"/>
      <c r="JTW481" s="13"/>
      <c r="JTX481" s="13"/>
      <c r="JTY481" s="13"/>
      <c r="JTZ481" s="13"/>
      <c r="JUA481" s="13"/>
      <c r="JUB481" s="13"/>
      <c r="JUC481" s="13"/>
      <c r="JUD481" s="13"/>
      <c r="JUE481" s="13"/>
      <c r="JUF481" s="13"/>
      <c r="JUG481" s="13"/>
      <c r="JUH481" s="13"/>
      <c r="JUI481" s="13"/>
      <c r="JUJ481" s="13"/>
      <c r="JUK481" s="13"/>
      <c r="JUL481" s="13"/>
      <c r="JUM481" s="13"/>
      <c r="JUN481" s="13"/>
      <c r="JUO481" s="13"/>
      <c r="JUP481" s="13"/>
      <c r="JUQ481" s="13"/>
      <c r="JUR481" s="13"/>
      <c r="JUS481" s="13"/>
      <c r="JUT481" s="13"/>
      <c r="JUU481" s="13"/>
      <c r="JUV481" s="13"/>
      <c r="JUW481" s="13"/>
      <c r="JUX481" s="13"/>
      <c r="JUY481" s="13"/>
      <c r="JUZ481" s="13"/>
      <c r="JVA481" s="13"/>
      <c r="JVB481" s="13"/>
      <c r="JVC481" s="13"/>
      <c r="JVD481" s="13"/>
      <c r="JVE481" s="13"/>
      <c r="JVF481" s="13"/>
      <c r="JVG481" s="13"/>
      <c r="JVH481" s="13"/>
      <c r="JVI481" s="13"/>
      <c r="JVJ481" s="13"/>
      <c r="JVK481" s="13"/>
      <c r="JVL481" s="13"/>
      <c r="JVM481" s="13"/>
      <c r="JVN481" s="13"/>
      <c r="JVO481" s="13"/>
      <c r="JVP481" s="13"/>
      <c r="JVQ481" s="13"/>
      <c r="JVR481" s="13"/>
      <c r="JVS481" s="13"/>
      <c r="JVT481" s="13"/>
      <c r="JVU481" s="13"/>
      <c r="JVV481" s="13"/>
      <c r="JVW481" s="13"/>
      <c r="JVX481" s="13"/>
      <c r="JVY481" s="13"/>
      <c r="JVZ481" s="13"/>
      <c r="JWA481" s="13"/>
      <c r="JWB481" s="13"/>
      <c r="JWC481" s="13"/>
      <c r="JWD481" s="13"/>
      <c r="JWE481" s="13"/>
      <c r="JWF481" s="13"/>
      <c r="JWG481" s="13"/>
      <c r="JWH481" s="13"/>
      <c r="JWI481" s="13"/>
      <c r="JWJ481" s="13"/>
      <c r="JWK481" s="13"/>
      <c r="JWL481" s="13"/>
      <c r="JWM481" s="13"/>
      <c r="JWN481" s="13"/>
      <c r="JWO481" s="13"/>
      <c r="JWP481" s="13"/>
      <c r="JWQ481" s="13"/>
      <c r="JWR481" s="13"/>
      <c r="JWS481" s="13"/>
      <c r="JWT481" s="13"/>
      <c r="JWU481" s="13"/>
      <c r="JWV481" s="13"/>
      <c r="JWW481" s="13"/>
      <c r="JWX481" s="13"/>
      <c r="JWY481" s="13"/>
      <c r="JWZ481" s="13"/>
      <c r="JXA481" s="13"/>
      <c r="JXB481" s="13"/>
      <c r="JXC481" s="13"/>
      <c r="JXD481" s="13"/>
      <c r="JXE481" s="13"/>
      <c r="JXF481" s="13"/>
      <c r="JXG481" s="13"/>
      <c r="JXH481" s="13"/>
      <c r="JXI481" s="13"/>
      <c r="JXJ481" s="13"/>
      <c r="JXK481" s="13"/>
      <c r="JXL481" s="13"/>
      <c r="JXM481" s="13"/>
      <c r="JXN481" s="13"/>
      <c r="JXO481" s="13"/>
      <c r="JXP481" s="13"/>
      <c r="JXQ481" s="13"/>
      <c r="JXR481" s="13"/>
      <c r="JXS481" s="13"/>
      <c r="JXT481" s="13"/>
      <c r="JXU481" s="13"/>
      <c r="JXV481" s="13"/>
      <c r="JXW481" s="13"/>
      <c r="JXX481" s="13"/>
      <c r="JXY481" s="13"/>
      <c r="JXZ481" s="13"/>
      <c r="JYA481" s="13"/>
      <c r="JYB481" s="13"/>
      <c r="JYC481" s="13"/>
      <c r="JYD481" s="13"/>
      <c r="JYE481" s="13"/>
      <c r="JYF481" s="13"/>
      <c r="JYG481" s="13"/>
      <c r="JYH481" s="13"/>
      <c r="JYI481" s="13"/>
      <c r="JYJ481" s="13"/>
      <c r="JYK481" s="13"/>
      <c r="JYL481" s="13"/>
      <c r="JYM481" s="13"/>
      <c r="JYN481" s="13"/>
      <c r="JYO481" s="13"/>
      <c r="JYP481" s="13"/>
      <c r="JYQ481" s="13"/>
      <c r="JYR481" s="13"/>
      <c r="JYS481" s="13"/>
      <c r="JYT481" s="13"/>
      <c r="JYU481" s="13"/>
      <c r="JYV481" s="13"/>
      <c r="JYW481" s="13"/>
      <c r="JYX481" s="13"/>
      <c r="JYY481" s="13"/>
      <c r="JYZ481" s="13"/>
      <c r="JZA481" s="13"/>
      <c r="JZB481" s="13"/>
      <c r="JZC481" s="13"/>
      <c r="JZD481" s="13"/>
      <c r="JZE481" s="13"/>
      <c r="JZF481" s="13"/>
      <c r="JZG481" s="13"/>
      <c r="JZH481" s="13"/>
      <c r="JZI481" s="13"/>
      <c r="JZJ481" s="13"/>
      <c r="JZK481" s="13"/>
      <c r="JZL481" s="13"/>
      <c r="JZM481" s="13"/>
      <c r="JZN481" s="13"/>
      <c r="JZO481" s="13"/>
      <c r="JZP481" s="13"/>
      <c r="JZQ481" s="13"/>
      <c r="JZR481" s="13"/>
      <c r="JZS481" s="13"/>
      <c r="JZT481" s="13"/>
      <c r="JZU481" s="13"/>
      <c r="JZV481" s="13"/>
      <c r="JZW481" s="13"/>
      <c r="JZX481" s="13"/>
      <c r="JZY481" s="13"/>
      <c r="JZZ481" s="13"/>
      <c r="KAA481" s="13"/>
      <c r="KAB481" s="13"/>
      <c r="KAC481" s="13"/>
      <c r="KAD481" s="13"/>
      <c r="KAE481" s="13"/>
      <c r="KAF481" s="13"/>
      <c r="KAG481" s="13"/>
      <c r="KAH481" s="13"/>
      <c r="KAI481" s="13"/>
      <c r="KAJ481" s="13"/>
      <c r="KAK481" s="13"/>
      <c r="KAL481" s="13"/>
      <c r="KAM481" s="13"/>
      <c r="KAN481" s="13"/>
      <c r="KAO481" s="13"/>
      <c r="KAP481" s="13"/>
      <c r="KAQ481" s="13"/>
      <c r="KAR481" s="13"/>
      <c r="KAS481" s="13"/>
      <c r="KAT481" s="13"/>
      <c r="KAU481" s="13"/>
      <c r="KAV481" s="13"/>
      <c r="KAW481" s="13"/>
      <c r="KAX481" s="13"/>
      <c r="KAY481" s="13"/>
      <c r="KAZ481" s="13"/>
      <c r="KBA481" s="13"/>
      <c r="KBB481" s="13"/>
      <c r="KBC481" s="13"/>
      <c r="KBD481" s="13"/>
      <c r="KBE481" s="13"/>
      <c r="KBF481" s="13"/>
      <c r="KBG481" s="13"/>
      <c r="KBH481" s="13"/>
      <c r="KBI481" s="13"/>
      <c r="KBJ481" s="13"/>
      <c r="KBK481" s="13"/>
      <c r="KBL481" s="13"/>
      <c r="KBM481" s="13"/>
      <c r="KBN481" s="13"/>
      <c r="KBO481" s="13"/>
      <c r="KBP481" s="13"/>
      <c r="KBQ481" s="13"/>
      <c r="KBR481" s="13"/>
      <c r="KBS481" s="13"/>
      <c r="KBT481" s="13"/>
      <c r="KBU481" s="13"/>
      <c r="KBV481" s="13"/>
      <c r="KBW481" s="13"/>
      <c r="KBX481" s="13"/>
      <c r="KBY481" s="13"/>
      <c r="KBZ481" s="13"/>
      <c r="KCA481" s="13"/>
      <c r="KCB481" s="13"/>
      <c r="KCC481" s="13"/>
      <c r="KCD481" s="13"/>
      <c r="KCE481" s="13"/>
      <c r="KCF481" s="13"/>
      <c r="KCG481" s="13"/>
      <c r="KCH481" s="13"/>
      <c r="KCI481" s="13"/>
      <c r="KCJ481" s="13"/>
      <c r="KCK481" s="13"/>
      <c r="KCL481" s="13"/>
      <c r="KCM481" s="13"/>
      <c r="KCN481" s="13"/>
      <c r="KCO481" s="13"/>
      <c r="KCP481" s="13"/>
      <c r="KCQ481" s="13"/>
      <c r="KCR481" s="13"/>
      <c r="KCS481" s="13"/>
      <c r="KCT481" s="13"/>
      <c r="KCU481" s="13"/>
      <c r="KCV481" s="13"/>
      <c r="KCW481" s="13"/>
      <c r="KCX481" s="13"/>
      <c r="KCY481" s="13"/>
      <c r="KCZ481" s="13"/>
      <c r="KDA481" s="13"/>
      <c r="KDB481" s="13"/>
      <c r="KDC481" s="13"/>
      <c r="KDD481" s="13"/>
      <c r="KDE481" s="13"/>
      <c r="KDF481" s="13"/>
      <c r="KDG481" s="13"/>
      <c r="KDH481" s="13"/>
      <c r="KDI481" s="13"/>
      <c r="KDJ481" s="13"/>
      <c r="KDK481" s="13"/>
      <c r="KDL481" s="13"/>
      <c r="KDM481" s="13"/>
      <c r="KDN481" s="13"/>
      <c r="KDO481" s="13"/>
      <c r="KDP481" s="13"/>
      <c r="KDQ481" s="13"/>
      <c r="KDR481" s="13"/>
      <c r="KDS481" s="13"/>
      <c r="KDT481" s="13"/>
      <c r="KDU481" s="13"/>
      <c r="KDV481" s="13"/>
      <c r="KDW481" s="13"/>
      <c r="KDX481" s="13"/>
      <c r="KDY481" s="13"/>
      <c r="KDZ481" s="13"/>
      <c r="KEA481" s="13"/>
      <c r="KEB481" s="13"/>
      <c r="KEC481" s="13"/>
      <c r="KED481" s="13"/>
      <c r="KEE481" s="13"/>
      <c r="KEF481" s="13"/>
      <c r="KEG481" s="13"/>
      <c r="KEH481" s="13"/>
      <c r="KEI481" s="13"/>
      <c r="KEJ481" s="13"/>
      <c r="KEK481" s="13"/>
      <c r="KEL481" s="13"/>
      <c r="KEM481" s="13"/>
      <c r="KEN481" s="13"/>
      <c r="KEO481" s="13"/>
      <c r="KEP481" s="13"/>
      <c r="KEQ481" s="13"/>
      <c r="KER481" s="13"/>
      <c r="KES481" s="13"/>
      <c r="KET481" s="13"/>
      <c r="KEU481" s="13"/>
      <c r="KEV481" s="13"/>
      <c r="KEW481" s="13"/>
      <c r="KEX481" s="13"/>
      <c r="KEY481" s="13"/>
      <c r="KEZ481" s="13"/>
      <c r="KFA481" s="13"/>
      <c r="KFB481" s="13"/>
      <c r="KFC481" s="13"/>
      <c r="KFD481" s="13"/>
      <c r="KFE481" s="13"/>
      <c r="KFF481" s="13"/>
      <c r="KFG481" s="13"/>
      <c r="KFH481" s="13"/>
      <c r="KFI481" s="13"/>
      <c r="KFJ481" s="13"/>
      <c r="KFK481" s="13"/>
      <c r="KFL481" s="13"/>
      <c r="KFM481" s="13"/>
      <c r="KFN481" s="13"/>
      <c r="KFO481" s="13"/>
      <c r="KFP481" s="13"/>
      <c r="KFQ481" s="13"/>
      <c r="KFR481" s="13"/>
      <c r="KFS481" s="13"/>
      <c r="KFT481" s="13"/>
      <c r="KFU481" s="13"/>
      <c r="KFV481" s="13"/>
      <c r="KFW481" s="13"/>
      <c r="KFX481" s="13"/>
      <c r="KFY481" s="13"/>
      <c r="KFZ481" s="13"/>
      <c r="KGA481" s="13"/>
      <c r="KGB481" s="13"/>
      <c r="KGC481" s="13"/>
      <c r="KGD481" s="13"/>
      <c r="KGE481" s="13"/>
      <c r="KGF481" s="13"/>
      <c r="KGG481" s="13"/>
      <c r="KGH481" s="13"/>
      <c r="KGI481" s="13"/>
      <c r="KGJ481" s="13"/>
      <c r="KGK481" s="13"/>
      <c r="KGL481" s="13"/>
      <c r="KGM481" s="13"/>
      <c r="KGN481" s="13"/>
      <c r="KGO481" s="13"/>
      <c r="KGP481" s="13"/>
      <c r="KGQ481" s="13"/>
      <c r="KGR481" s="13"/>
      <c r="KGS481" s="13"/>
      <c r="KGT481" s="13"/>
      <c r="KGU481" s="13"/>
      <c r="KGV481" s="13"/>
      <c r="KGW481" s="13"/>
      <c r="KGX481" s="13"/>
      <c r="KGY481" s="13"/>
      <c r="KGZ481" s="13"/>
      <c r="KHA481" s="13"/>
      <c r="KHB481" s="13"/>
      <c r="KHC481" s="13"/>
      <c r="KHD481" s="13"/>
      <c r="KHE481" s="13"/>
      <c r="KHF481" s="13"/>
      <c r="KHG481" s="13"/>
      <c r="KHH481" s="13"/>
      <c r="KHI481" s="13"/>
      <c r="KHJ481" s="13"/>
      <c r="KHK481" s="13"/>
      <c r="KHL481" s="13"/>
      <c r="KHM481" s="13"/>
      <c r="KHN481" s="13"/>
      <c r="KHO481" s="13"/>
      <c r="KHP481" s="13"/>
      <c r="KHQ481" s="13"/>
      <c r="KHR481" s="13"/>
      <c r="KHS481" s="13"/>
      <c r="KHT481" s="13"/>
      <c r="KHU481" s="13"/>
      <c r="KHV481" s="13"/>
      <c r="KHW481" s="13"/>
      <c r="KHX481" s="13"/>
      <c r="KHY481" s="13"/>
      <c r="KHZ481" s="13"/>
      <c r="KIA481" s="13"/>
      <c r="KIB481" s="13"/>
      <c r="KIC481" s="13"/>
      <c r="KID481" s="13"/>
      <c r="KIE481" s="13"/>
      <c r="KIF481" s="13"/>
      <c r="KIG481" s="13"/>
      <c r="KIH481" s="13"/>
      <c r="KII481" s="13"/>
      <c r="KIJ481" s="13"/>
      <c r="KIK481" s="13"/>
      <c r="KIL481" s="13"/>
      <c r="KIM481" s="13"/>
      <c r="KIN481" s="13"/>
      <c r="KIO481" s="13"/>
      <c r="KIP481" s="13"/>
      <c r="KIQ481" s="13"/>
      <c r="KIR481" s="13"/>
      <c r="KIS481" s="13"/>
      <c r="KIT481" s="13"/>
      <c r="KIU481" s="13"/>
      <c r="KIV481" s="13"/>
      <c r="KIW481" s="13"/>
      <c r="KIX481" s="13"/>
      <c r="KIY481" s="13"/>
      <c r="KIZ481" s="13"/>
      <c r="KJA481" s="13"/>
      <c r="KJB481" s="13"/>
      <c r="KJC481" s="13"/>
      <c r="KJD481" s="13"/>
      <c r="KJE481" s="13"/>
      <c r="KJF481" s="13"/>
      <c r="KJG481" s="13"/>
      <c r="KJH481" s="13"/>
      <c r="KJI481" s="13"/>
      <c r="KJJ481" s="13"/>
      <c r="KJK481" s="13"/>
      <c r="KJL481" s="13"/>
      <c r="KJM481" s="13"/>
      <c r="KJN481" s="13"/>
      <c r="KJO481" s="13"/>
      <c r="KJP481" s="13"/>
      <c r="KJQ481" s="13"/>
      <c r="KJR481" s="13"/>
      <c r="KJS481" s="13"/>
      <c r="KJT481" s="13"/>
      <c r="KJU481" s="13"/>
      <c r="KJV481" s="13"/>
      <c r="KJW481" s="13"/>
      <c r="KJX481" s="13"/>
      <c r="KJY481" s="13"/>
      <c r="KJZ481" s="13"/>
      <c r="KKA481" s="13"/>
      <c r="KKB481" s="13"/>
      <c r="KKC481" s="13"/>
      <c r="KKD481" s="13"/>
      <c r="KKE481" s="13"/>
      <c r="KKF481" s="13"/>
      <c r="KKG481" s="13"/>
      <c r="KKH481" s="13"/>
      <c r="KKI481" s="13"/>
      <c r="KKJ481" s="13"/>
      <c r="KKK481" s="13"/>
      <c r="KKL481" s="13"/>
      <c r="KKM481" s="13"/>
      <c r="KKN481" s="13"/>
      <c r="KKO481" s="13"/>
      <c r="KKP481" s="13"/>
      <c r="KKQ481" s="13"/>
      <c r="KKR481" s="13"/>
      <c r="KKS481" s="13"/>
      <c r="KKT481" s="13"/>
      <c r="KKU481" s="13"/>
      <c r="KKV481" s="13"/>
      <c r="KKW481" s="13"/>
      <c r="KKX481" s="13"/>
      <c r="KKY481" s="13"/>
      <c r="KKZ481" s="13"/>
      <c r="KLA481" s="13"/>
      <c r="KLB481" s="13"/>
      <c r="KLC481" s="13"/>
      <c r="KLD481" s="13"/>
      <c r="KLE481" s="13"/>
      <c r="KLF481" s="13"/>
      <c r="KLG481" s="13"/>
      <c r="KLH481" s="13"/>
      <c r="KLI481" s="13"/>
      <c r="KLJ481" s="13"/>
      <c r="KLK481" s="13"/>
      <c r="KLL481" s="13"/>
      <c r="KLM481" s="13"/>
      <c r="KLN481" s="13"/>
      <c r="KLO481" s="13"/>
      <c r="KLP481" s="13"/>
      <c r="KLQ481" s="13"/>
      <c r="KLR481" s="13"/>
      <c r="KLS481" s="13"/>
      <c r="KLT481" s="13"/>
      <c r="KLU481" s="13"/>
      <c r="KLV481" s="13"/>
      <c r="KLW481" s="13"/>
      <c r="KLX481" s="13"/>
      <c r="KLY481" s="13"/>
      <c r="KLZ481" s="13"/>
      <c r="KMA481" s="13"/>
      <c r="KMB481" s="13"/>
      <c r="KMC481" s="13"/>
      <c r="KMD481" s="13"/>
      <c r="KME481" s="13"/>
      <c r="KMF481" s="13"/>
      <c r="KMG481" s="13"/>
      <c r="KMH481" s="13"/>
      <c r="KMI481" s="13"/>
      <c r="KMJ481" s="13"/>
      <c r="KMK481" s="13"/>
      <c r="KML481" s="13"/>
      <c r="KMM481" s="13"/>
      <c r="KMN481" s="13"/>
      <c r="KMO481" s="13"/>
      <c r="KMP481" s="13"/>
      <c r="KMQ481" s="13"/>
      <c r="KMR481" s="13"/>
      <c r="KMS481" s="13"/>
      <c r="KMT481" s="13"/>
      <c r="KMU481" s="13"/>
      <c r="KMV481" s="13"/>
      <c r="KMW481" s="13"/>
      <c r="KMX481" s="13"/>
      <c r="KMY481" s="13"/>
      <c r="KMZ481" s="13"/>
      <c r="KNA481" s="13"/>
      <c r="KNB481" s="13"/>
      <c r="KNC481" s="13"/>
      <c r="KND481" s="13"/>
      <c r="KNE481" s="13"/>
      <c r="KNF481" s="13"/>
      <c r="KNG481" s="13"/>
      <c r="KNH481" s="13"/>
      <c r="KNI481" s="13"/>
      <c r="KNJ481" s="13"/>
      <c r="KNK481" s="13"/>
      <c r="KNL481" s="13"/>
      <c r="KNM481" s="13"/>
      <c r="KNN481" s="13"/>
      <c r="KNO481" s="13"/>
      <c r="KNP481" s="13"/>
      <c r="KNQ481" s="13"/>
      <c r="KNR481" s="13"/>
      <c r="KNS481" s="13"/>
      <c r="KNT481" s="13"/>
      <c r="KNU481" s="13"/>
      <c r="KNV481" s="13"/>
      <c r="KNW481" s="13"/>
      <c r="KNX481" s="13"/>
      <c r="KNY481" s="13"/>
      <c r="KNZ481" s="13"/>
      <c r="KOA481" s="13"/>
      <c r="KOB481" s="13"/>
      <c r="KOC481" s="13"/>
      <c r="KOD481" s="13"/>
      <c r="KOE481" s="13"/>
      <c r="KOF481" s="13"/>
      <c r="KOG481" s="13"/>
      <c r="KOH481" s="13"/>
      <c r="KOI481" s="13"/>
      <c r="KOJ481" s="13"/>
      <c r="KOK481" s="13"/>
      <c r="KOL481" s="13"/>
      <c r="KOM481" s="13"/>
      <c r="KON481" s="13"/>
      <c r="KOO481" s="13"/>
      <c r="KOP481" s="13"/>
      <c r="KOQ481" s="13"/>
      <c r="KOR481" s="13"/>
      <c r="KOS481" s="13"/>
      <c r="KOT481" s="13"/>
      <c r="KOU481" s="13"/>
      <c r="KOV481" s="13"/>
      <c r="KOW481" s="13"/>
      <c r="KOX481" s="13"/>
      <c r="KOY481" s="13"/>
      <c r="KOZ481" s="13"/>
      <c r="KPA481" s="13"/>
      <c r="KPB481" s="13"/>
      <c r="KPC481" s="13"/>
      <c r="KPD481" s="13"/>
      <c r="KPE481" s="13"/>
      <c r="KPF481" s="13"/>
      <c r="KPG481" s="13"/>
      <c r="KPH481" s="13"/>
      <c r="KPI481" s="13"/>
      <c r="KPJ481" s="13"/>
      <c r="KPK481" s="13"/>
      <c r="KPL481" s="13"/>
      <c r="KPM481" s="13"/>
      <c r="KPN481" s="13"/>
      <c r="KPO481" s="13"/>
      <c r="KPP481" s="13"/>
      <c r="KPQ481" s="13"/>
      <c r="KPR481" s="13"/>
      <c r="KPS481" s="13"/>
      <c r="KPT481" s="13"/>
      <c r="KPU481" s="13"/>
      <c r="KPV481" s="13"/>
      <c r="KPW481" s="13"/>
      <c r="KPX481" s="13"/>
      <c r="KPY481" s="13"/>
      <c r="KPZ481" s="13"/>
      <c r="KQA481" s="13"/>
      <c r="KQB481" s="13"/>
      <c r="KQC481" s="13"/>
      <c r="KQD481" s="13"/>
      <c r="KQE481" s="13"/>
      <c r="KQF481" s="13"/>
      <c r="KQG481" s="13"/>
      <c r="KQH481" s="13"/>
      <c r="KQI481" s="13"/>
      <c r="KQJ481" s="13"/>
      <c r="KQK481" s="13"/>
      <c r="KQL481" s="13"/>
      <c r="KQM481" s="13"/>
      <c r="KQN481" s="13"/>
      <c r="KQO481" s="13"/>
      <c r="KQP481" s="13"/>
      <c r="KQQ481" s="13"/>
      <c r="KQR481" s="13"/>
      <c r="KQS481" s="13"/>
      <c r="KQT481" s="13"/>
      <c r="KQU481" s="13"/>
      <c r="KQV481" s="13"/>
      <c r="KQW481" s="13"/>
      <c r="KQX481" s="13"/>
      <c r="KQY481" s="13"/>
      <c r="KQZ481" s="13"/>
      <c r="KRA481" s="13"/>
      <c r="KRB481" s="13"/>
      <c r="KRC481" s="13"/>
      <c r="KRD481" s="13"/>
      <c r="KRE481" s="13"/>
      <c r="KRF481" s="13"/>
      <c r="KRG481" s="13"/>
      <c r="KRH481" s="13"/>
      <c r="KRI481" s="13"/>
      <c r="KRJ481" s="13"/>
      <c r="KRK481" s="13"/>
      <c r="KRL481" s="13"/>
      <c r="KRM481" s="13"/>
      <c r="KRN481" s="13"/>
      <c r="KRO481" s="13"/>
      <c r="KRP481" s="13"/>
      <c r="KRQ481" s="13"/>
      <c r="KRR481" s="13"/>
      <c r="KRS481" s="13"/>
      <c r="KRT481" s="13"/>
      <c r="KRU481" s="13"/>
      <c r="KRV481" s="13"/>
      <c r="KRW481" s="13"/>
      <c r="KRX481" s="13"/>
      <c r="KRY481" s="13"/>
      <c r="KRZ481" s="13"/>
      <c r="KSA481" s="13"/>
      <c r="KSB481" s="13"/>
      <c r="KSC481" s="13"/>
      <c r="KSD481" s="13"/>
      <c r="KSE481" s="13"/>
      <c r="KSF481" s="13"/>
      <c r="KSG481" s="13"/>
      <c r="KSH481" s="13"/>
      <c r="KSI481" s="13"/>
      <c r="KSJ481" s="13"/>
      <c r="KSK481" s="13"/>
      <c r="KSL481" s="13"/>
      <c r="KSM481" s="13"/>
      <c r="KSN481" s="13"/>
      <c r="KSO481" s="13"/>
      <c r="KSP481" s="13"/>
      <c r="KSQ481" s="13"/>
      <c r="KSR481" s="13"/>
      <c r="KSS481" s="13"/>
      <c r="KST481" s="13"/>
      <c r="KSU481" s="13"/>
      <c r="KSV481" s="13"/>
      <c r="KSW481" s="13"/>
      <c r="KSX481" s="13"/>
      <c r="KSY481" s="13"/>
      <c r="KSZ481" s="13"/>
      <c r="KTA481" s="13"/>
      <c r="KTB481" s="13"/>
      <c r="KTC481" s="13"/>
      <c r="KTD481" s="13"/>
      <c r="KTE481" s="13"/>
      <c r="KTF481" s="13"/>
      <c r="KTG481" s="13"/>
      <c r="KTH481" s="13"/>
      <c r="KTI481" s="13"/>
      <c r="KTJ481" s="13"/>
      <c r="KTK481" s="13"/>
      <c r="KTL481" s="13"/>
      <c r="KTM481" s="13"/>
      <c r="KTN481" s="13"/>
      <c r="KTO481" s="13"/>
      <c r="KTP481" s="13"/>
      <c r="KTQ481" s="13"/>
      <c r="KTR481" s="13"/>
      <c r="KTS481" s="13"/>
      <c r="KTT481" s="13"/>
      <c r="KTU481" s="13"/>
      <c r="KTV481" s="13"/>
      <c r="KTW481" s="13"/>
      <c r="KTX481" s="13"/>
      <c r="KTY481" s="13"/>
      <c r="KTZ481" s="13"/>
      <c r="KUA481" s="13"/>
      <c r="KUB481" s="13"/>
      <c r="KUC481" s="13"/>
      <c r="KUD481" s="13"/>
      <c r="KUE481" s="13"/>
      <c r="KUF481" s="13"/>
      <c r="KUG481" s="13"/>
      <c r="KUH481" s="13"/>
      <c r="KUI481" s="13"/>
      <c r="KUJ481" s="13"/>
      <c r="KUK481" s="13"/>
      <c r="KUL481" s="13"/>
      <c r="KUM481" s="13"/>
      <c r="KUN481" s="13"/>
      <c r="KUO481" s="13"/>
      <c r="KUP481" s="13"/>
      <c r="KUQ481" s="13"/>
      <c r="KUR481" s="13"/>
      <c r="KUS481" s="13"/>
      <c r="KUT481" s="13"/>
      <c r="KUU481" s="13"/>
      <c r="KUV481" s="13"/>
      <c r="KUW481" s="13"/>
      <c r="KUX481" s="13"/>
      <c r="KUY481" s="13"/>
      <c r="KUZ481" s="13"/>
      <c r="KVA481" s="13"/>
      <c r="KVB481" s="13"/>
      <c r="KVC481" s="13"/>
      <c r="KVD481" s="13"/>
      <c r="KVE481" s="13"/>
      <c r="KVF481" s="13"/>
      <c r="KVG481" s="13"/>
      <c r="KVH481" s="13"/>
      <c r="KVI481" s="13"/>
      <c r="KVJ481" s="13"/>
      <c r="KVK481" s="13"/>
      <c r="KVL481" s="13"/>
      <c r="KVM481" s="13"/>
      <c r="KVN481" s="13"/>
      <c r="KVO481" s="13"/>
      <c r="KVP481" s="13"/>
      <c r="KVQ481" s="13"/>
      <c r="KVR481" s="13"/>
      <c r="KVS481" s="13"/>
      <c r="KVT481" s="13"/>
      <c r="KVU481" s="13"/>
      <c r="KVV481" s="13"/>
      <c r="KVW481" s="13"/>
      <c r="KVX481" s="13"/>
      <c r="KVY481" s="13"/>
      <c r="KVZ481" s="13"/>
      <c r="KWA481" s="13"/>
      <c r="KWB481" s="13"/>
      <c r="KWC481" s="13"/>
      <c r="KWD481" s="13"/>
      <c r="KWE481" s="13"/>
      <c r="KWF481" s="13"/>
      <c r="KWG481" s="13"/>
      <c r="KWH481" s="13"/>
      <c r="KWI481" s="13"/>
      <c r="KWJ481" s="13"/>
      <c r="KWK481" s="13"/>
      <c r="KWL481" s="13"/>
      <c r="KWM481" s="13"/>
      <c r="KWN481" s="13"/>
      <c r="KWO481" s="13"/>
      <c r="KWP481" s="13"/>
      <c r="KWQ481" s="13"/>
      <c r="KWR481" s="13"/>
      <c r="KWS481" s="13"/>
      <c r="KWT481" s="13"/>
      <c r="KWU481" s="13"/>
      <c r="KWV481" s="13"/>
      <c r="KWW481" s="13"/>
      <c r="KWX481" s="13"/>
      <c r="KWY481" s="13"/>
      <c r="KWZ481" s="13"/>
      <c r="KXA481" s="13"/>
      <c r="KXB481" s="13"/>
      <c r="KXC481" s="13"/>
      <c r="KXD481" s="13"/>
      <c r="KXE481" s="13"/>
      <c r="KXF481" s="13"/>
      <c r="KXG481" s="13"/>
      <c r="KXH481" s="13"/>
      <c r="KXI481" s="13"/>
      <c r="KXJ481" s="13"/>
      <c r="KXK481" s="13"/>
      <c r="KXL481" s="13"/>
      <c r="KXM481" s="13"/>
      <c r="KXN481" s="13"/>
      <c r="KXO481" s="13"/>
      <c r="KXP481" s="13"/>
      <c r="KXQ481" s="13"/>
      <c r="KXR481" s="13"/>
      <c r="KXS481" s="13"/>
      <c r="KXT481" s="13"/>
      <c r="KXU481" s="13"/>
      <c r="KXV481" s="13"/>
      <c r="KXW481" s="13"/>
      <c r="KXX481" s="13"/>
      <c r="KXY481" s="13"/>
      <c r="KXZ481" s="13"/>
      <c r="KYA481" s="13"/>
      <c r="KYB481" s="13"/>
      <c r="KYC481" s="13"/>
      <c r="KYD481" s="13"/>
      <c r="KYE481" s="13"/>
      <c r="KYF481" s="13"/>
      <c r="KYG481" s="13"/>
      <c r="KYH481" s="13"/>
      <c r="KYI481" s="13"/>
      <c r="KYJ481" s="13"/>
      <c r="KYK481" s="13"/>
      <c r="KYL481" s="13"/>
      <c r="KYM481" s="13"/>
      <c r="KYN481" s="13"/>
      <c r="KYO481" s="13"/>
      <c r="KYP481" s="13"/>
      <c r="KYQ481" s="13"/>
      <c r="KYR481" s="13"/>
      <c r="KYS481" s="13"/>
      <c r="KYT481" s="13"/>
      <c r="KYU481" s="13"/>
      <c r="KYV481" s="13"/>
      <c r="KYW481" s="13"/>
      <c r="KYX481" s="13"/>
      <c r="KYY481" s="13"/>
      <c r="KYZ481" s="13"/>
      <c r="KZA481" s="13"/>
      <c r="KZB481" s="13"/>
      <c r="KZC481" s="13"/>
      <c r="KZD481" s="13"/>
      <c r="KZE481" s="13"/>
      <c r="KZF481" s="13"/>
      <c r="KZG481" s="13"/>
      <c r="KZH481" s="13"/>
      <c r="KZI481" s="13"/>
      <c r="KZJ481" s="13"/>
      <c r="KZK481" s="13"/>
      <c r="KZL481" s="13"/>
      <c r="KZM481" s="13"/>
      <c r="KZN481" s="13"/>
      <c r="KZO481" s="13"/>
      <c r="KZP481" s="13"/>
      <c r="KZQ481" s="13"/>
      <c r="KZR481" s="13"/>
      <c r="KZS481" s="13"/>
      <c r="KZT481" s="13"/>
      <c r="KZU481" s="13"/>
      <c r="KZV481" s="13"/>
      <c r="KZW481" s="13"/>
      <c r="KZX481" s="13"/>
      <c r="KZY481" s="13"/>
      <c r="KZZ481" s="13"/>
      <c r="LAA481" s="13"/>
      <c r="LAB481" s="13"/>
      <c r="LAC481" s="13"/>
      <c r="LAD481" s="13"/>
      <c r="LAE481" s="13"/>
      <c r="LAF481" s="13"/>
      <c r="LAG481" s="13"/>
      <c r="LAH481" s="13"/>
      <c r="LAI481" s="13"/>
      <c r="LAJ481" s="13"/>
      <c r="LAK481" s="13"/>
      <c r="LAL481" s="13"/>
      <c r="LAM481" s="13"/>
      <c r="LAN481" s="13"/>
      <c r="LAO481" s="13"/>
      <c r="LAP481" s="13"/>
      <c r="LAQ481" s="13"/>
      <c r="LAR481" s="13"/>
      <c r="LAS481" s="13"/>
      <c r="LAT481" s="13"/>
      <c r="LAU481" s="13"/>
      <c r="LAV481" s="13"/>
      <c r="LAW481" s="13"/>
      <c r="LAX481" s="13"/>
      <c r="LAY481" s="13"/>
      <c r="LAZ481" s="13"/>
      <c r="LBA481" s="13"/>
      <c r="LBB481" s="13"/>
      <c r="LBC481" s="13"/>
      <c r="LBD481" s="13"/>
      <c r="LBE481" s="13"/>
      <c r="LBF481" s="13"/>
      <c r="LBG481" s="13"/>
      <c r="LBH481" s="13"/>
      <c r="LBI481" s="13"/>
      <c r="LBJ481" s="13"/>
      <c r="LBK481" s="13"/>
      <c r="LBL481" s="13"/>
      <c r="LBM481" s="13"/>
      <c r="LBN481" s="13"/>
      <c r="LBO481" s="13"/>
      <c r="LBP481" s="13"/>
      <c r="LBQ481" s="13"/>
      <c r="LBR481" s="13"/>
      <c r="LBS481" s="13"/>
      <c r="LBT481" s="13"/>
      <c r="LBU481" s="13"/>
      <c r="LBV481" s="13"/>
      <c r="LBW481" s="13"/>
      <c r="LBX481" s="13"/>
      <c r="LBY481" s="13"/>
      <c r="LBZ481" s="13"/>
      <c r="LCA481" s="13"/>
      <c r="LCB481" s="13"/>
      <c r="LCC481" s="13"/>
      <c r="LCD481" s="13"/>
      <c r="LCE481" s="13"/>
      <c r="LCF481" s="13"/>
      <c r="LCG481" s="13"/>
      <c r="LCH481" s="13"/>
      <c r="LCI481" s="13"/>
      <c r="LCJ481" s="13"/>
      <c r="LCK481" s="13"/>
      <c r="LCL481" s="13"/>
      <c r="LCM481" s="13"/>
      <c r="LCN481" s="13"/>
      <c r="LCO481" s="13"/>
      <c r="LCP481" s="13"/>
      <c r="LCQ481" s="13"/>
      <c r="LCR481" s="13"/>
      <c r="LCS481" s="13"/>
      <c r="LCT481" s="13"/>
      <c r="LCU481" s="13"/>
      <c r="LCV481" s="13"/>
      <c r="LCW481" s="13"/>
      <c r="LCX481" s="13"/>
      <c r="LCY481" s="13"/>
      <c r="LCZ481" s="13"/>
      <c r="LDA481" s="13"/>
      <c r="LDB481" s="13"/>
      <c r="LDC481" s="13"/>
      <c r="LDD481" s="13"/>
      <c r="LDE481" s="13"/>
      <c r="LDF481" s="13"/>
      <c r="LDG481" s="13"/>
      <c r="LDH481" s="13"/>
      <c r="LDI481" s="13"/>
      <c r="LDJ481" s="13"/>
      <c r="LDK481" s="13"/>
      <c r="LDL481" s="13"/>
      <c r="LDM481" s="13"/>
      <c r="LDN481" s="13"/>
      <c r="LDO481" s="13"/>
      <c r="LDP481" s="13"/>
      <c r="LDQ481" s="13"/>
      <c r="LDR481" s="13"/>
      <c r="LDS481" s="13"/>
      <c r="LDT481" s="13"/>
      <c r="LDU481" s="13"/>
      <c r="LDV481" s="13"/>
      <c r="LDW481" s="13"/>
      <c r="LDX481" s="13"/>
      <c r="LDY481" s="13"/>
      <c r="LDZ481" s="13"/>
      <c r="LEA481" s="13"/>
      <c r="LEB481" s="13"/>
      <c r="LEC481" s="13"/>
      <c r="LED481" s="13"/>
      <c r="LEE481" s="13"/>
      <c r="LEF481" s="13"/>
      <c r="LEG481" s="13"/>
      <c r="LEH481" s="13"/>
      <c r="LEI481" s="13"/>
      <c r="LEJ481" s="13"/>
      <c r="LEK481" s="13"/>
      <c r="LEL481" s="13"/>
      <c r="LEM481" s="13"/>
      <c r="LEN481" s="13"/>
      <c r="LEO481" s="13"/>
      <c r="LEP481" s="13"/>
      <c r="LEQ481" s="13"/>
      <c r="LER481" s="13"/>
      <c r="LES481" s="13"/>
      <c r="LET481" s="13"/>
      <c r="LEU481" s="13"/>
      <c r="LEV481" s="13"/>
      <c r="LEW481" s="13"/>
      <c r="LEX481" s="13"/>
      <c r="LEY481" s="13"/>
      <c r="LEZ481" s="13"/>
      <c r="LFA481" s="13"/>
      <c r="LFB481" s="13"/>
      <c r="LFC481" s="13"/>
      <c r="LFD481" s="13"/>
      <c r="LFE481" s="13"/>
      <c r="LFF481" s="13"/>
      <c r="LFG481" s="13"/>
      <c r="LFH481" s="13"/>
      <c r="LFI481" s="13"/>
      <c r="LFJ481" s="13"/>
      <c r="LFK481" s="13"/>
      <c r="LFL481" s="13"/>
      <c r="LFM481" s="13"/>
      <c r="LFN481" s="13"/>
      <c r="LFO481" s="13"/>
      <c r="LFP481" s="13"/>
      <c r="LFQ481" s="13"/>
      <c r="LFR481" s="13"/>
      <c r="LFS481" s="13"/>
      <c r="LFT481" s="13"/>
      <c r="LFU481" s="13"/>
      <c r="LFV481" s="13"/>
      <c r="LFW481" s="13"/>
      <c r="LFX481" s="13"/>
      <c r="LFY481" s="13"/>
      <c r="LFZ481" s="13"/>
      <c r="LGA481" s="13"/>
      <c r="LGB481" s="13"/>
      <c r="LGC481" s="13"/>
      <c r="LGD481" s="13"/>
      <c r="LGE481" s="13"/>
      <c r="LGF481" s="13"/>
      <c r="LGG481" s="13"/>
      <c r="LGH481" s="13"/>
      <c r="LGI481" s="13"/>
      <c r="LGJ481" s="13"/>
      <c r="LGK481" s="13"/>
      <c r="LGL481" s="13"/>
      <c r="LGM481" s="13"/>
      <c r="LGN481" s="13"/>
      <c r="LGO481" s="13"/>
      <c r="LGP481" s="13"/>
      <c r="LGQ481" s="13"/>
      <c r="LGR481" s="13"/>
      <c r="LGS481" s="13"/>
      <c r="LGT481" s="13"/>
      <c r="LGU481" s="13"/>
      <c r="LGV481" s="13"/>
      <c r="LGW481" s="13"/>
      <c r="LGX481" s="13"/>
      <c r="LGY481" s="13"/>
      <c r="LGZ481" s="13"/>
      <c r="LHA481" s="13"/>
      <c r="LHB481" s="13"/>
      <c r="LHC481" s="13"/>
      <c r="LHD481" s="13"/>
      <c r="LHE481" s="13"/>
      <c r="LHF481" s="13"/>
      <c r="LHG481" s="13"/>
      <c r="LHH481" s="13"/>
      <c r="LHI481" s="13"/>
      <c r="LHJ481" s="13"/>
      <c r="LHK481" s="13"/>
      <c r="LHL481" s="13"/>
      <c r="LHM481" s="13"/>
      <c r="LHN481" s="13"/>
      <c r="LHO481" s="13"/>
      <c r="LHP481" s="13"/>
      <c r="LHQ481" s="13"/>
      <c r="LHR481" s="13"/>
      <c r="LHS481" s="13"/>
      <c r="LHT481" s="13"/>
      <c r="LHU481" s="13"/>
      <c r="LHV481" s="13"/>
      <c r="LHW481" s="13"/>
      <c r="LHX481" s="13"/>
      <c r="LHY481" s="13"/>
      <c r="LHZ481" s="13"/>
      <c r="LIA481" s="13"/>
      <c r="LIB481" s="13"/>
      <c r="LIC481" s="13"/>
      <c r="LID481" s="13"/>
      <c r="LIE481" s="13"/>
      <c r="LIF481" s="13"/>
      <c r="LIG481" s="13"/>
      <c r="LIH481" s="13"/>
      <c r="LII481" s="13"/>
      <c r="LIJ481" s="13"/>
      <c r="LIK481" s="13"/>
      <c r="LIL481" s="13"/>
      <c r="LIM481" s="13"/>
      <c r="LIN481" s="13"/>
      <c r="LIO481" s="13"/>
      <c r="LIP481" s="13"/>
      <c r="LIQ481" s="13"/>
      <c r="LIR481" s="13"/>
      <c r="LIS481" s="13"/>
      <c r="LIT481" s="13"/>
      <c r="LIU481" s="13"/>
      <c r="LIV481" s="13"/>
      <c r="LIW481" s="13"/>
      <c r="LIX481" s="13"/>
      <c r="LIY481" s="13"/>
      <c r="LIZ481" s="13"/>
      <c r="LJA481" s="13"/>
      <c r="LJB481" s="13"/>
      <c r="LJC481" s="13"/>
      <c r="LJD481" s="13"/>
      <c r="LJE481" s="13"/>
      <c r="LJF481" s="13"/>
      <c r="LJG481" s="13"/>
      <c r="LJH481" s="13"/>
      <c r="LJI481" s="13"/>
      <c r="LJJ481" s="13"/>
      <c r="LJK481" s="13"/>
      <c r="LJL481" s="13"/>
      <c r="LJM481" s="13"/>
      <c r="LJN481" s="13"/>
      <c r="LJO481" s="13"/>
      <c r="LJP481" s="13"/>
      <c r="LJQ481" s="13"/>
      <c r="LJR481" s="13"/>
      <c r="LJS481" s="13"/>
      <c r="LJT481" s="13"/>
      <c r="LJU481" s="13"/>
      <c r="LJV481" s="13"/>
      <c r="LJW481" s="13"/>
      <c r="LJX481" s="13"/>
      <c r="LJY481" s="13"/>
      <c r="LJZ481" s="13"/>
      <c r="LKA481" s="13"/>
      <c r="LKB481" s="13"/>
      <c r="LKC481" s="13"/>
      <c r="LKD481" s="13"/>
      <c r="LKE481" s="13"/>
      <c r="LKF481" s="13"/>
      <c r="LKG481" s="13"/>
      <c r="LKH481" s="13"/>
      <c r="LKI481" s="13"/>
      <c r="LKJ481" s="13"/>
      <c r="LKK481" s="13"/>
      <c r="LKL481" s="13"/>
      <c r="LKM481" s="13"/>
      <c r="LKN481" s="13"/>
      <c r="LKO481" s="13"/>
      <c r="LKP481" s="13"/>
      <c r="LKQ481" s="13"/>
      <c r="LKR481" s="13"/>
      <c r="LKS481" s="13"/>
      <c r="LKT481" s="13"/>
      <c r="LKU481" s="13"/>
      <c r="LKV481" s="13"/>
      <c r="LKW481" s="13"/>
      <c r="LKX481" s="13"/>
      <c r="LKY481" s="13"/>
      <c r="LKZ481" s="13"/>
      <c r="LLA481" s="13"/>
      <c r="LLB481" s="13"/>
      <c r="LLC481" s="13"/>
      <c r="LLD481" s="13"/>
      <c r="LLE481" s="13"/>
      <c r="LLF481" s="13"/>
      <c r="LLG481" s="13"/>
      <c r="LLH481" s="13"/>
      <c r="LLI481" s="13"/>
      <c r="LLJ481" s="13"/>
      <c r="LLK481" s="13"/>
      <c r="LLL481" s="13"/>
      <c r="LLM481" s="13"/>
      <c r="LLN481" s="13"/>
      <c r="LLO481" s="13"/>
      <c r="LLP481" s="13"/>
      <c r="LLQ481" s="13"/>
      <c r="LLR481" s="13"/>
      <c r="LLS481" s="13"/>
      <c r="LLT481" s="13"/>
      <c r="LLU481" s="13"/>
      <c r="LLV481" s="13"/>
      <c r="LLW481" s="13"/>
      <c r="LLX481" s="13"/>
      <c r="LLY481" s="13"/>
      <c r="LLZ481" s="13"/>
      <c r="LMA481" s="13"/>
      <c r="LMB481" s="13"/>
      <c r="LMC481" s="13"/>
      <c r="LMD481" s="13"/>
      <c r="LME481" s="13"/>
      <c r="LMF481" s="13"/>
      <c r="LMG481" s="13"/>
      <c r="LMH481" s="13"/>
      <c r="LMI481" s="13"/>
      <c r="LMJ481" s="13"/>
      <c r="LMK481" s="13"/>
      <c r="LML481" s="13"/>
      <c r="LMM481" s="13"/>
      <c r="LMN481" s="13"/>
      <c r="LMO481" s="13"/>
      <c r="LMP481" s="13"/>
      <c r="LMQ481" s="13"/>
      <c r="LMR481" s="13"/>
      <c r="LMS481" s="13"/>
      <c r="LMT481" s="13"/>
      <c r="LMU481" s="13"/>
      <c r="LMV481" s="13"/>
      <c r="LMW481" s="13"/>
      <c r="LMX481" s="13"/>
      <c r="LMY481" s="13"/>
      <c r="LMZ481" s="13"/>
      <c r="LNA481" s="13"/>
      <c r="LNB481" s="13"/>
      <c r="LNC481" s="13"/>
      <c r="LND481" s="13"/>
      <c r="LNE481" s="13"/>
      <c r="LNF481" s="13"/>
      <c r="LNG481" s="13"/>
      <c r="LNH481" s="13"/>
      <c r="LNI481" s="13"/>
      <c r="LNJ481" s="13"/>
      <c r="LNK481" s="13"/>
      <c r="LNL481" s="13"/>
      <c r="LNM481" s="13"/>
      <c r="LNN481" s="13"/>
      <c r="LNO481" s="13"/>
      <c r="LNP481" s="13"/>
      <c r="LNQ481" s="13"/>
      <c r="LNR481" s="13"/>
      <c r="LNS481" s="13"/>
      <c r="LNT481" s="13"/>
      <c r="LNU481" s="13"/>
      <c r="LNV481" s="13"/>
      <c r="LNW481" s="13"/>
      <c r="LNX481" s="13"/>
      <c r="LNY481" s="13"/>
      <c r="LNZ481" s="13"/>
      <c r="LOA481" s="13"/>
      <c r="LOB481" s="13"/>
      <c r="LOC481" s="13"/>
      <c r="LOD481" s="13"/>
      <c r="LOE481" s="13"/>
      <c r="LOF481" s="13"/>
      <c r="LOG481" s="13"/>
      <c r="LOH481" s="13"/>
      <c r="LOI481" s="13"/>
      <c r="LOJ481" s="13"/>
      <c r="LOK481" s="13"/>
      <c r="LOL481" s="13"/>
      <c r="LOM481" s="13"/>
      <c r="LON481" s="13"/>
      <c r="LOO481" s="13"/>
      <c r="LOP481" s="13"/>
      <c r="LOQ481" s="13"/>
      <c r="LOR481" s="13"/>
      <c r="LOS481" s="13"/>
      <c r="LOT481" s="13"/>
      <c r="LOU481" s="13"/>
      <c r="LOV481" s="13"/>
      <c r="LOW481" s="13"/>
      <c r="LOX481" s="13"/>
      <c r="LOY481" s="13"/>
      <c r="LOZ481" s="13"/>
      <c r="LPA481" s="13"/>
      <c r="LPB481" s="13"/>
      <c r="LPC481" s="13"/>
      <c r="LPD481" s="13"/>
      <c r="LPE481" s="13"/>
      <c r="LPF481" s="13"/>
      <c r="LPG481" s="13"/>
      <c r="LPH481" s="13"/>
      <c r="LPI481" s="13"/>
      <c r="LPJ481" s="13"/>
      <c r="LPK481" s="13"/>
      <c r="LPL481" s="13"/>
      <c r="LPM481" s="13"/>
      <c r="LPN481" s="13"/>
      <c r="LPO481" s="13"/>
      <c r="LPP481" s="13"/>
      <c r="LPQ481" s="13"/>
      <c r="LPR481" s="13"/>
      <c r="LPS481" s="13"/>
      <c r="LPT481" s="13"/>
      <c r="LPU481" s="13"/>
      <c r="LPV481" s="13"/>
      <c r="LPW481" s="13"/>
      <c r="LPX481" s="13"/>
      <c r="LPY481" s="13"/>
      <c r="LPZ481" s="13"/>
      <c r="LQA481" s="13"/>
      <c r="LQB481" s="13"/>
      <c r="LQC481" s="13"/>
      <c r="LQD481" s="13"/>
      <c r="LQE481" s="13"/>
      <c r="LQF481" s="13"/>
      <c r="LQG481" s="13"/>
      <c r="LQH481" s="13"/>
      <c r="LQI481" s="13"/>
      <c r="LQJ481" s="13"/>
      <c r="LQK481" s="13"/>
      <c r="LQL481" s="13"/>
      <c r="LQM481" s="13"/>
      <c r="LQN481" s="13"/>
      <c r="LQO481" s="13"/>
      <c r="LQP481" s="13"/>
      <c r="LQQ481" s="13"/>
      <c r="LQR481" s="13"/>
      <c r="LQS481" s="13"/>
      <c r="LQT481" s="13"/>
      <c r="LQU481" s="13"/>
      <c r="LQV481" s="13"/>
      <c r="LQW481" s="13"/>
      <c r="LQX481" s="13"/>
      <c r="LQY481" s="13"/>
      <c r="LQZ481" s="13"/>
      <c r="LRA481" s="13"/>
      <c r="LRB481" s="13"/>
      <c r="LRC481" s="13"/>
      <c r="LRD481" s="13"/>
      <c r="LRE481" s="13"/>
      <c r="LRF481" s="13"/>
      <c r="LRG481" s="13"/>
      <c r="LRH481" s="13"/>
      <c r="LRI481" s="13"/>
      <c r="LRJ481" s="13"/>
      <c r="LRK481" s="13"/>
      <c r="LRL481" s="13"/>
      <c r="LRM481" s="13"/>
      <c r="LRN481" s="13"/>
      <c r="LRO481" s="13"/>
      <c r="LRP481" s="13"/>
      <c r="LRQ481" s="13"/>
      <c r="LRR481" s="13"/>
      <c r="LRS481" s="13"/>
      <c r="LRT481" s="13"/>
      <c r="LRU481" s="13"/>
      <c r="LRV481" s="13"/>
      <c r="LRW481" s="13"/>
      <c r="LRX481" s="13"/>
      <c r="LRY481" s="13"/>
      <c r="LRZ481" s="13"/>
      <c r="LSA481" s="13"/>
      <c r="LSB481" s="13"/>
      <c r="LSC481" s="13"/>
      <c r="LSD481" s="13"/>
      <c r="LSE481" s="13"/>
      <c r="LSF481" s="13"/>
      <c r="LSG481" s="13"/>
      <c r="LSH481" s="13"/>
      <c r="LSI481" s="13"/>
      <c r="LSJ481" s="13"/>
      <c r="LSK481" s="13"/>
      <c r="LSL481" s="13"/>
      <c r="LSM481" s="13"/>
      <c r="LSN481" s="13"/>
      <c r="LSO481" s="13"/>
      <c r="LSP481" s="13"/>
      <c r="LSQ481" s="13"/>
      <c r="LSR481" s="13"/>
      <c r="LSS481" s="13"/>
      <c r="LST481" s="13"/>
      <c r="LSU481" s="13"/>
      <c r="LSV481" s="13"/>
      <c r="LSW481" s="13"/>
      <c r="LSX481" s="13"/>
      <c r="LSY481" s="13"/>
      <c r="LSZ481" s="13"/>
      <c r="LTA481" s="13"/>
      <c r="LTB481" s="13"/>
      <c r="LTC481" s="13"/>
      <c r="LTD481" s="13"/>
      <c r="LTE481" s="13"/>
      <c r="LTF481" s="13"/>
      <c r="LTG481" s="13"/>
      <c r="LTH481" s="13"/>
      <c r="LTI481" s="13"/>
      <c r="LTJ481" s="13"/>
      <c r="LTK481" s="13"/>
      <c r="LTL481" s="13"/>
      <c r="LTM481" s="13"/>
      <c r="LTN481" s="13"/>
      <c r="LTO481" s="13"/>
      <c r="LTP481" s="13"/>
      <c r="LTQ481" s="13"/>
      <c r="LTR481" s="13"/>
      <c r="LTS481" s="13"/>
      <c r="LTT481" s="13"/>
      <c r="LTU481" s="13"/>
      <c r="LTV481" s="13"/>
      <c r="LTW481" s="13"/>
      <c r="LTX481" s="13"/>
      <c r="LTY481" s="13"/>
      <c r="LTZ481" s="13"/>
      <c r="LUA481" s="13"/>
      <c r="LUB481" s="13"/>
      <c r="LUC481" s="13"/>
      <c r="LUD481" s="13"/>
      <c r="LUE481" s="13"/>
      <c r="LUF481" s="13"/>
      <c r="LUG481" s="13"/>
      <c r="LUH481" s="13"/>
      <c r="LUI481" s="13"/>
      <c r="LUJ481" s="13"/>
      <c r="LUK481" s="13"/>
      <c r="LUL481" s="13"/>
      <c r="LUM481" s="13"/>
      <c r="LUN481" s="13"/>
      <c r="LUO481" s="13"/>
      <c r="LUP481" s="13"/>
      <c r="LUQ481" s="13"/>
      <c r="LUR481" s="13"/>
      <c r="LUS481" s="13"/>
      <c r="LUT481" s="13"/>
      <c r="LUU481" s="13"/>
      <c r="LUV481" s="13"/>
      <c r="LUW481" s="13"/>
      <c r="LUX481" s="13"/>
      <c r="LUY481" s="13"/>
      <c r="LUZ481" s="13"/>
      <c r="LVA481" s="13"/>
      <c r="LVB481" s="13"/>
      <c r="LVC481" s="13"/>
      <c r="LVD481" s="13"/>
      <c r="LVE481" s="13"/>
      <c r="LVF481" s="13"/>
      <c r="LVG481" s="13"/>
      <c r="LVH481" s="13"/>
      <c r="LVI481" s="13"/>
      <c r="LVJ481" s="13"/>
      <c r="LVK481" s="13"/>
      <c r="LVL481" s="13"/>
      <c r="LVM481" s="13"/>
      <c r="LVN481" s="13"/>
      <c r="LVO481" s="13"/>
      <c r="LVP481" s="13"/>
      <c r="LVQ481" s="13"/>
      <c r="LVR481" s="13"/>
      <c r="LVS481" s="13"/>
      <c r="LVT481" s="13"/>
      <c r="LVU481" s="13"/>
      <c r="LVV481" s="13"/>
      <c r="LVW481" s="13"/>
      <c r="LVX481" s="13"/>
      <c r="LVY481" s="13"/>
      <c r="LVZ481" s="13"/>
      <c r="LWA481" s="13"/>
      <c r="LWB481" s="13"/>
      <c r="LWC481" s="13"/>
      <c r="LWD481" s="13"/>
      <c r="LWE481" s="13"/>
      <c r="LWF481" s="13"/>
      <c r="LWG481" s="13"/>
      <c r="LWH481" s="13"/>
      <c r="LWI481" s="13"/>
      <c r="LWJ481" s="13"/>
      <c r="LWK481" s="13"/>
      <c r="LWL481" s="13"/>
      <c r="LWM481" s="13"/>
      <c r="LWN481" s="13"/>
      <c r="LWO481" s="13"/>
      <c r="LWP481" s="13"/>
      <c r="LWQ481" s="13"/>
      <c r="LWR481" s="13"/>
      <c r="LWS481" s="13"/>
      <c r="LWT481" s="13"/>
      <c r="LWU481" s="13"/>
      <c r="LWV481" s="13"/>
      <c r="LWW481" s="13"/>
      <c r="LWX481" s="13"/>
      <c r="LWY481" s="13"/>
      <c r="LWZ481" s="13"/>
      <c r="LXA481" s="13"/>
      <c r="LXB481" s="13"/>
      <c r="LXC481" s="13"/>
      <c r="LXD481" s="13"/>
      <c r="LXE481" s="13"/>
      <c r="LXF481" s="13"/>
      <c r="LXG481" s="13"/>
      <c r="LXH481" s="13"/>
      <c r="LXI481" s="13"/>
      <c r="LXJ481" s="13"/>
      <c r="LXK481" s="13"/>
      <c r="LXL481" s="13"/>
      <c r="LXM481" s="13"/>
      <c r="LXN481" s="13"/>
      <c r="LXO481" s="13"/>
      <c r="LXP481" s="13"/>
      <c r="LXQ481" s="13"/>
      <c r="LXR481" s="13"/>
      <c r="LXS481" s="13"/>
      <c r="LXT481" s="13"/>
      <c r="LXU481" s="13"/>
      <c r="LXV481" s="13"/>
      <c r="LXW481" s="13"/>
      <c r="LXX481" s="13"/>
      <c r="LXY481" s="13"/>
      <c r="LXZ481" s="13"/>
      <c r="LYA481" s="13"/>
      <c r="LYB481" s="13"/>
      <c r="LYC481" s="13"/>
      <c r="LYD481" s="13"/>
      <c r="LYE481" s="13"/>
      <c r="LYF481" s="13"/>
      <c r="LYG481" s="13"/>
      <c r="LYH481" s="13"/>
      <c r="LYI481" s="13"/>
      <c r="LYJ481" s="13"/>
      <c r="LYK481" s="13"/>
      <c r="LYL481" s="13"/>
      <c r="LYM481" s="13"/>
      <c r="LYN481" s="13"/>
      <c r="LYO481" s="13"/>
      <c r="LYP481" s="13"/>
      <c r="LYQ481" s="13"/>
      <c r="LYR481" s="13"/>
      <c r="LYS481" s="13"/>
      <c r="LYT481" s="13"/>
      <c r="LYU481" s="13"/>
      <c r="LYV481" s="13"/>
      <c r="LYW481" s="13"/>
      <c r="LYX481" s="13"/>
      <c r="LYY481" s="13"/>
      <c r="LYZ481" s="13"/>
      <c r="LZA481" s="13"/>
      <c r="LZB481" s="13"/>
      <c r="LZC481" s="13"/>
      <c r="LZD481" s="13"/>
      <c r="LZE481" s="13"/>
      <c r="LZF481" s="13"/>
      <c r="LZG481" s="13"/>
      <c r="LZH481" s="13"/>
      <c r="LZI481" s="13"/>
      <c r="LZJ481" s="13"/>
      <c r="LZK481" s="13"/>
      <c r="LZL481" s="13"/>
      <c r="LZM481" s="13"/>
      <c r="LZN481" s="13"/>
      <c r="LZO481" s="13"/>
      <c r="LZP481" s="13"/>
      <c r="LZQ481" s="13"/>
      <c r="LZR481" s="13"/>
      <c r="LZS481" s="13"/>
      <c r="LZT481" s="13"/>
      <c r="LZU481" s="13"/>
      <c r="LZV481" s="13"/>
      <c r="LZW481" s="13"/>
      <c r="LZX481" s="13"/>
      <c r="LZY481" s="13"/>
      <c r="LZZ481" s="13"/>
      <c r="MAA481" s="13"/>
      <c r="MAB481" s="13"/>
      <c r="MAC481" s="13"/>
      <c r="MAD481" s="13"/>
      <c r="MAE481" s="13"/>
      <c r="MAF481" s="13"/>
      <c r="MAG481" s="13"/>
      <c r="MAH481" s="13"/>
      <c r="MAI481" s="13"/>
      <c r="MAJ481" s="13"/>
      <c r="MAK481" s="13"/>
      <c r="MAL481" s="13"/>
      <c r="MAM481" s="13"/>
      <c r="MAN481" s="13"/>
      <c r="MAO481" s="13"/>
      <c r="MAP481" s="13"/>
      <c r="MAQ481" s="13"/>
      <c r="MAR481" s="13"/>
      <c r="MAS481" s="13"/>
      <c r="MAT481" s="13"/>
      <c r="MAU481" s="13"/>
      <c r="MAV481" s="13"/>
      <c r="MAW481" s="13"/>
      <c r="MAX481" s="13"/>
      <c r="MAY481" s="13"/>
      <c r="MAZ481" s="13"/>
      <c r="MBA481" s="13"/>
      <c r="MBB481" s="13"/>
      <c r="MBC481" s="13"/>
      <c r="MBD481" s="13"/>
      <c r="MBE481" s="13"/>
      <c r="MBF481" s="13"/>
      <c r="MBG481" s="13"/>
      <c r="MBH481" s="13"/>
      <c r="MBI481" s="13"/>
      <c r="MBJ481" s="13"/>
      <c r="MBK481" s="13"/>
      <c r="MBL481" s="13"/>
      <c r="MBM481" s="13"/>
      <c r="MBN481" s="13"/>
      <c r="MBO481" s="13"/>
      <c r="MBP481" s="13"/>
      <c r="MBQ481" s="13"/>
      <c r="MBR481" s="13"/>
      <c r="MBS481" s="13"/>
      <c r="MBT481" s="13"/>
      <c r="MBU481" s="13"/>
      <c r="MBV481" s="13"/>
      <c r="MBW481" s="13"/>
      <c r="MBX481" s="13"/>
      <c r="MBY481" s="13"/>
      <c r="MBZ481" s="13"/>
      <c r="MCA481" s="13"/>
      <c r="MCB481" s="13"/>
      <c r="MCC481" s="13"/>
      <c r="MCD481" s="13"/>
      <c r="MCE481" s="13"/>
      <c r="MCF481" s="13"/>
      <c r="MCG481" s="13"/>
      <c r="MCH481" s="13"/>
      <c r="MCI481" s="13"/>
      <c r="MCJ481" s="13"/>
      <c r="MCK481" s="13"/>
      <c r="MCL481" s="13"/>
      <c r="MCM481" s="13"/>
      <c r="MCN481" s="13"/>
      <c r="MCO481" s="13"/>
      <c r="MCP481" s="13"/>
      <c r="MCQ481" s="13"/>
      <c r="MCR481" s="13"/>
      <c r="MCS481" s="13"/>
      <c r="MCT481" s="13"/>
      <c r="MCU481" s="13"/>
      <c r="MCV481" s="13"/>
      <c r="MCW481" s="13"/>
      <c r="MCX481" s="13"/>
      <c r="MCY481" s="13"/>
      <c r="MCZ481" s="13"/>
      <c r="MDA481" s="13"/>
      <c r="MDB481" s="13"/>
      <c r="MDC481" s="13"/>
      <c r="MDD481" s="13"/>
      <c r="MDE481" s="13"/>
      <c r="MDF481" s="13"/>
      <c r="MDG481" s="13"/>
      <c r="MDH481" s="13"/>
      <c r="MDI481" s="13"/>
      <c r="MDJ481" s="13"/>
      <c r="MDK481" s="13"/>
      <c r="MDL481" s="13"/>
      <c r="MDM481" s="13"/>
      <c r="MDN481" s="13"/>
      <c r="MDO481" s="13"/>
      <c r="MDP481" s="13"/>
      <c r="MDQ481" s="13"/>
      <c r="MDR481" s="13"/>
      <c r="MDS481" s="13"/>
      <c r="MDT481" s="13"/>
      <c r="MDU481" s="13"/>
      <c r="MDV481" s="13"/>
      <c r="MDW481" s="13"/>
      <c r="MDX481" s="13"/>
      <c r="MDY481" s="13"/>
      <c r="MDZ481" s="13"/>
      <c r="MEA481" s="13"/>
      <c r="MEB481" s="13"/>
      <c r="MEC481" s="13"/>
      <c r="MED481" s="13"/>
      <c r="MEE481" s="13"/>
      <c r="MEF481" s="13"/>
      <c r="MEG481" s="13"/>
      <c r="MEH481" s="13"/>
      <c r="MEI481" s="13"/>
      <c r="MEJ481" s="13"/>
      <c r="MEK481" s="13"/>
      <c r="MEL481" s="13"/>
      <c r="MEM481" s="13"/>
      <c r="MEN481" s="13"/>
      <c r="MEO481" s="13"/>
      <c r="MEP481" s="13"/>
      <c r="MEQ481" s="13"/>
      <c r="MER481" s="13"/>
      <c r="MES481" s="13"/>
      <c r="MET481" s="13"/>
      <c r="MEU481" s="13"/>
      <c r="MEV481" s="13"/>
      <c r="MEW481" s="13"/>
      <c r="MEX481" s="13"/>
      <c r="MEY481" s="13"/>
      <c r="MEZ481" s="13"/>
      <c r="MFA481" s="13"/>
      <c r="MFB481" s="13"/>
      <c r="MFC481" s="13"/>
      <c r="MFD481" s="13"/>
      <c r="MFE481" s="13"/>
      <c r="MFF481" s="13"/>
      <c r="MFG481" s="13"/>
      <c r="MFH481" s="13"/>
      <c r="MFI481" s="13"/>
      <c r="MFJ481" s="13"/>
      <c r="MFK481" s="13"/>
      <c r="MFL481" s="13"/>
      <c r="MFM481" s="13"/>
      <c r="MFN481" s="13"/>
      <c r="MFO481" s="13"/>
      <c r="MFP481" s="13"/>
      <c r="MFQ481" s="13"/>
      <c r="MFR481" s="13"/>
      <c r="MFS481" s="13"/>
      <c r="MFT481" s="13"/>
      <c r="MFU481" s="13"/>
      <c r="MFV481" s="13"/>
      <c r="MFW481" s="13"/>
      <c r="MFX481" s="13"/>
      <c r="MFY481" s="13"/>
      <c r="MFZ481" s="13"/>
      <c r="MGA481" s="13"/>
      <c r="MGB481" s="13"/>
      <c r="MGC481" s="13"/>
      <c r="MGD481" s="13"/>
      <c r="MGE481" s="13"/>
      <c r="MGF481" s="13"/>
      <c r="MGG481" s="13"/>
      <c r="MGH481" s="13"/>
      <c r="MGI481" s="13"/>
      <c r="MGJ481" s="13"/>
      <c r="MGK481" s="13"/>
      <c r="MGL481" s="13"/>
      <c r="MGM481" s="13"/>
      <c r="MGN481" s="13"/>
      <c r="MGO481" s="13"/>
      <c r="MGP481" s="13"/>
      <c r="MGQ481" s="13"/>
      <c r="MGR481" s="13"/>
      <c r="MGS481" s="13"/>
      <c r="MGT481" s="13"/>
      <c r="MGU481" s="13"/>
      <c r="MGV481" s="13"/>
      <c r="MGW481" s="13"/>
      <c r="MGX481" s="13"/>
      <c r="MGY481" s="13"/>
      <c r="MGZ481" s="13"/>
      <c r="MHA481" s="13"/>
      <c r="MHB481" s="13"/>
      <c r="MHC481" s="13"/>
      <c r="MHD481" s="13"/>
      <c r="MHE481" s="13"/>
      <c r="MHF481" s="13"/>
      <c r="MHG481" s="13"/>
      <c r="MHH481" s="13"/>
      <c r="MHI481" s="13"/>
      <c r="MHJ481" s="13"/>
      <c r="MHK481" s="13"/>
      <c r="MHL481" s="13"/>
      <c r="MHM481" s="13"/>
      <c r="MHN481" s="13"/>
      <c r="MHO481" s="13"/>
      <c r="MHP481" s="13"/>
      <c r="MHQ481" s="13"/>
      <c r="MHR481" s="13"/>
      <c r="MHS481" s="13"/>
      <c r="MHT481" s="13"/>
      <c r="MHU481" s="13"/>
      <c r="MHV481" s="13"/>
      <c r="MHW481" s="13"/>
      <c r="MHX481" s="13"/>
      <c r="MHY481" s="13"/>
      <c r="MHZ481" s="13"/>
      <c r="MIA481" s="13"/>
      <c r="MIB481" s="13"/>
      <c r="MIC481" s="13"/>
      <c r="MID481" s="13"/>
      <c r="MIE481" s="13"/>
      <c r="MIF481" s="13"/>
      <c r="MIG481" s="13"/>
      <c r="MIH481" s="13"/>
      <c r="MII481" s="13"/>
      <c r="MIJ481" s="13"/>
      <c r="MIK481" s="13"/>
      <c r="MIL481" s="13"/>
      <c r="MIM481" s="13"/>
      <c r="MIN481" s="13"/>
      <c r="MIO481" s="13"/>
      <c r="MIP481" s="13"/>
      <c r="MIQ481" s="13"/>
      <c r="MIR481" s="13"/>
      <c r="MIS481" s="13"/>
      <c r="MIT481" s="13"/>
      <c r="MIU481" s="13"/>
      <c r="MIV481" s="13"/>
      <c r="MIW481" s="13"/>
      <c r="MIX481" s="13"/>
      <c r="MIY481" s="13"/>
      <c r="MIZ481" s="13"/>
      <c r="MJA481" s="13"/>
      <c r="MJB481" s="13"/>
      <c r="MJC481" s="13"/>
      <c r="MJD481" s="13"/>
      <c r="MJE481" s="13"/>
      <c r="MJF481" s="13"/>
      <c r="MJG481" s="13"/>
      <c r="MJH481" s="13"/>
      <c r="MJI481" s="13"/>
      <c r="MJJ481" s="13"/>
      <c r="MJK481" s="13"/>
      <c r="MJL481" s="13"/>
      <c r="MJM481" s="13"/>
      <c r="MJN481" s="13"/>
      <c r="MJO481" s="13"/>
      <c r="MJP481" s="13"/>
      <c r="MJQ481" s="13"/>
      <c r="MJR481" s="13"/>
      <c r="MJS481" s="13"/>
      <c r="MJT481" s="13"/>
      <c r="MJU481" s="13"/>
      <c r="MJV481" s="13"/>
      <c r="MJW481" s="13"/>
      <c r="MJX481" s="13"/>
      <c r="MJY481" s="13"/>
      <c r="MJZ481" s="13"/>
      <c r="MKA481" s="13"/>
      <c r="MKB481" s="13"/>
      <c r="MKC481" s="13"/>
      <c r="MKD481" s="13"/>
      <c r="MKE481" s="13"/>
      <c r="MKF481" s="13"/>
      <c r="MKG481" s="13"/>
      <c r="MKH481" s="13"/>
      <c r="MKI481" s="13"/>
      <c r="MKJ481" s="13"/>
      <c r="MKK481" s="13"/>
      <c r="MKL481" s="13"/>
      <c r="MKM481" s="13"/>
      <c r="MKN481" s="13"/>
      <c r="MKO481" s="13"/>
      <c r="MKP481" s="13"/>
      <c r="MKQ481" s="13"/>
      <c r="MKR481" s="13"/>
      <c r="MKS481" s="13"/>
      <c r="MKT481" s="13"/>
      <c r="MKU481" s="13"/>
      <c r="MKV481" s="13"/>
      <c r="MKW481" s="13"/>
      <c r="MKX481" s="13"/>
      <c r="MKY481" s="13"/>
      <c r="MKZ481" s="13"/>
      <c r="MLA481" s="13"/>
      <c r="MLB481" s="13"/>
      <c r="MLC481" s="13"/>
      <c r="MLD481" s="13"/>
      <c r="MLE481" s="13"/>
      <c r="MLF481" s="13"/>
      <c r="MLG481" s="13"/>
      <c r="MLH481" s="13"/>
      <c r="MLI481" s="13"/>
      <c r="MLJ481" s="13"/>
      <c r="MLK481" s="13"/>
      <c r="MLL481" s="13"/>
      <c r="MLM481" s="13"/>
      <c r="MLN481" s="13"/>
      <c r="MLO481" s="13"/>
      <c r="MLP481" s="13"/>
      <c r="MLQ481" s="13"/>
      <c r="MLR481" s="13"/>
      <c r="MLS481" s="13"/>
      <c r="MLT481" s="13"/>
      <c r="MLU481" s="13"/>
      <c r="MLV481" s="13"/>
      <c r="MLW481" s="13"/>
      <c r="MLX481" s="13"/>
      <c r="MLY481" s="13"/>
      <c r="MLZ481" s="13"/>
      <c r="MMA481" s="13"/>
      <c r="MMB481" s="13"/>
      <c r="MMC481" s="13"/>
      <c r="MMD481" s="13"/>
      <c r="MME481" s="13"/>
      <c r="MMF481" s="13"/>
      <c r="MMG481" s="13"/>
      <c r="MMH481" s="13"/>
      <c r="MMI481" s="13"/>
      <c r="MMJ481" s="13"/>
      <c r="MMK481" s="13"/>
      <c r="MML481" s="13"/>
      <c r="MMM481" s="13"/>
      <c r="MMN481" s="13"/>
      <c r="MMO481" s="13"/>
      <c r="MMP481" s="13"/>
      <c r="MMQ481" s="13"/>
      <c r="MMR481" s="13"/>
      <c r="MMS481" s="13"/>
      <c r="MMT481" s="13"/>
      <c r="MMU481" s="13"/>
      <c r="MMV481" s="13"/>
      <c r="MMW481" s="13"/>
      <c r="MMX481" s="13"/>
      <c r="MMY481" s="13"/>
      <c r="MMZ481" s="13"/>
      <c r="MNA481" s="13"/>
      <c r="MNB481" s="13"/>
      <c r="MNC481" s="13"/>
      <c r="MND481" s="13"/>
      <c r="MNE481" s="13"/>
      <c r="MNF481" s="13"/>
      <c r="MNG481" s="13"/>
      <c r="MNH481" s="13"/>
      <c r="MNI481" s="13"/>
      <c r="MNJ481" s="13"/>
      <c r="MNK481" s="13"/>
      <c r="MNL481" s="13"/>
      <c r="MNM481" s="13"/>
      <c r="MNN481" s="13"/>
      <c r="MNO481" s="13"/>
      <c r="MNP481" s="13"/>
      <c r="MNQ481" s="13"/>
      <c r="MNR481" s="13"/>
      <c r="MNS481" s="13"/>
      <c r="MNT481" s="13"/>
      <c r="MNU481" s="13"/>
      <c r="MNV481" s="13"/>
      <c r="MNW481" s="13"/>
      <c r="MNX481" s="13"/>
      <c r="MNY481" s="13"/>
      <c r="MNZ481" s="13"/>
      <c r="MOA481" s="13"/>
      <c r="MOB481" s="13"/>
      <c r="MOC481" s="13"/>
      <c r="MOD481" s="13"/>
      <c r="MOE481" s="13"/>
      <c r="MOF481" s="13"/>
      <c r="MOG481" s="13"/>
      <c r="MOH481" s="13"/>
      <c r="MOI481" s="13"/>
      <c r="MOJ481" s="13"/>
      <c r="MOK481" s="13"/>
      <c r="MOL481" s="13"/>
      <c r="MOM481" s="13"/>
      <c r="MON481" s="13"/>
      <c r="MOO481" s="13"/>
      <c r="MOP481" s="13"/>
      <c r="MOQ481" s="13"/>
      <c r="MOR481" s="13"/>
      <c r="MOS481" s="13"/>
      <c r="MOT481" s="13"/>
      <c r="MOU481" s="13"/>
      <c r="MOV481" s="13"/>
      <c r="MOW481" s="13"/>
      <c r="MOX481" s="13"/>
      <c r="MOY481" s="13"/>
      <c r="MOZ481" s="13"/>
      <c r="MPA481" s="13"/>
      <c r="MPB481" s="13"/>
      <c r="MPC481" s="13"/>
      <c r="MPD481" s="13"/>
      <c r="MPE481" s="13"/>
      <c r="MPF481" s="13"/>
      <c r="MPG481" s="13"/>
      <c r="MPH481" s="13"/>
      <c r="MPI481" s="13"/>
      <c r="MPJ481" s="13"/>
      <c r="MPK481" s="13"/>
      <c r="MPL481" s="13"/>
      <c r="MPM481" s="13"/>
      <c r="MPN481" s="13"/>
      <c r="MPO481" s="13"/>
      <c r="MPP481" s="13"/>
      <c r="MPQ481" s="13"/>
      <c r="MPR481" s="13"/>
      <c r="MPS481" s="13"/>
      <c r="MPT481" s="13"/>
      <c r="MPU481" s="13"/>
      <c r="MPV481" s="13"/>
      <c r="MPW481" s="13"/>
      <c r="MPX481" s="13"/>
      <c r="MPY481" s="13"/>
      <c r="MPZ481" s="13"/>
      <c r="MQA481" s="13"/>
      <c r="MQB481" s="13"/>
      <c r="MQC481" s="13"/>
      <c r="MQD481" s="13"/>
      <c r="MQE481" s="13"/>
      <c r="MQF481" s="13"/>
      <c r="MQG481" s="13"/>
      <c r="MQH481" s="13"/>
      <c r="MQI481" s="13"/>
      <c r="MQJ481" s="13"/>
      <c r="MQK481" s="13"/>
      <c r="MQL481" s="13"/>
      <c r="MQM481" s="13"/>
      <c r="MQN481" s="13"/>
      <c r="MQO481" s="13"/>
      <c r="MQP481" s="13"/>
      <c r="MQQ481" s="13"/>
      <c r="MQR481" s="13"/>
      <c r="MQS481" s="13"/>
      <c r="MQT481" s="13"/>
      <c r="MQU481" s="13"/>
      <c r="MQV481" s="13"/>
      <c r="MQW481" s="13"/>
      <c r="MQX481" s="13"/>
      <c r="MQY481" s="13"/>
      <c r="MQZ481" s="13"/>
      <c r="MRA481" s="13"/>
      <c r="MRB481" s="13"/>
      <c r="MRC481" s="13"/>
      <c r="MRD481" s="13"/>
      <c r="MRE481" s="13"/>
      <c r="MRF481" s="13"/>
      <c r="MRG481" s="13"/>
      <c r="MRH481" s="13"/>
      <c r="MRI481" s="13"/>
      <c r="MRJ481" s="13"/>
      <c r="MRK481" s="13"/>
      <c r="MRL481" s="13"/>
      <c r="MRM481" s="13"/>
      <c r="MRN481" s="13"/>
      <c r="MRO481" s="13"/>
      <c r="MRP481" s="13"/>
      <c r="MRQ481" s="13"/>
      <c r="MRR481" s="13"/>
      <c r="MRS481" s="13"/>
      <c r="MRT481" s="13"/>
      <c r="MRU481" s="13"/>
      <c r="MRV481" s="13"/>
      <c r="MRW481" s="13"/>
      <c r="MRX481" s="13"/>
      <c r="MRY481" s="13"/>
      <c r="MRZ481" s="13"/>
      <c r="MSA481" s="13"/>
      <c r="MSB481" s="13"/>
      <c r="MSC481" s="13"/>
      <c r="MSD481" s="13"/>
      <c r="MSE481" s="13"/>
      <c r="MSF481" s="13"/>
      <c r="MSG481" s="13"/>
      <c r="MSH481" s="13"/>
      <c r="MSI481" s="13"/>
      <c r="MSJ481" s="13"/>
      <c r="MSK481" s="13"/>
      <c r="MSL481" s="13"/>
      <c r="MSM481" s="13"/>
      <c r="MSN481" s="13"/>
      <c r="MSO481" s="13"/>
      <c r="MSP481" s="13"/>
      <c r="MSQ481" s="13"/>
      <c r="MSR481" s="13"/>
      <c r="MSS481" s="13"/>
      <c r="MST481" s="13"/>
      <c r="MSU481" s="13"/>
      <c r="MSV481" s="13"/>
      <c r="MSW481" s="13"/>
      <c r="MSX481" s="13"/>
      <c r="MSY481" s="13"/>
      <c r="MSZ481" s="13"/>
      <c r="MTA481" s="13"/>
      <c r="MTB481" s="13"/>
      <c r="MTC481" s="13"/>
      <c r="MTD481" s="13"/>
      <c r="MTE481" s="13"/>
      <c r="MTF481" s="13"/>
      <c r="MTG481" s="13"/>
      <c r="MTH481" s="13"/>
      <c r="MTI481" s="13"/>
      <c r="MTJ481" s="13"/>
      <c r="MTK481" s="13"/>
      <c r="MTL481" s="13"/>
      <c r="MTM481" s="13"/>
      <c r="MTN481" s="13"/>
      <c r="MTO481" s="13"/>
      <c r="MTP481" s="13"/>
      <c r="MTQ481" s="13"/>
      <c r="MTR481" s="13"/>
      <c r="MTS481" s="13"/>
      <c r="MTT481" s="13"/>
      <c r="MTU481" s="13"/>
      <c r="MTV481" s="13"/>
      <c r="MTW481" s="13"/>
      <c r="MTX481" s="13"/>
      <c r="MTY481" s="13"/>
      <c r="MTZ481" s="13"/>
      <c r="MUA481" s="13"/>
      <c r="MUB481" s="13"/>
      <c r="MUC481" s="13"/>
      <c r="MUD481" s="13"/>
      <c r="MUE481" s="13"/>
      <c r="MUF481" s="13"/>
      <c r="MUG481" s="13"/>
      <c r="MUH481" s="13"/>
      <c r="MUI481" s="13"/>
      <c r="MUJ481" s="13"/>
      <c r="MUK481" s="13"/>
      <c r="MUL481" s="13"/>
      <c r="MUM481" s="13"/>
      <c r="MUN481" s="13"/>
      <c r="MUO481" s="13"/>
      <c r="MUP481" s="13"/>
      <c r="MUQ481" s="13"/>
      <c r="MUR481" s="13"/>
      <c r="MUS481" s="13"/>
      <c r="MUT481" s="13"/>
      <c r="MUU481" s="13"/>
      <c r="MUV481" s="13"/>
      <c r="MUW481" s="13"/>
      <c r="MUX481" s="13"/>
      <c r="MUY481" s="13"/>
      <c r="MUZ481" s="13"/>
      <c r="MVA481" s="13"/>
      <c r="MVB481" s="13"/>
      <c r="MVC481" s="13"/>
      <c r="MVD481" s="13"/>
      <c r="MVE481" s="13"/>
      <c r="MVF481" s="13"/>
      <c r="MVG481" s="13"/>
      <c r="MVH481" s="13"/>
      <c r="MVI481" s="13"/>
      <c r="MVJ481" s="13"/>
      <c r="MVK481" s="13"/>
      <c r="MVL481" s="13"/>
      <c r="MVM481" s="13"/>
      <c r="MVN481" s="13"/>
      <c r="MVO481" s="13"/>
      <c r="MVP481" s="13"/>
      <c r="MVQ481" s="13"/>
      <c r="MVR481" s="13"/>
      <c r="MVS481" s="13"/>
      <c r="MVT481" s="13"/>
      <c r="MVU481" s="13"/>
      <c r="MVV481" s="13"/>
      <c r="MVW481" s="13"/>
      <c r="MVX481" s="13"/>
      <c r="MVY481" s="13"/>
      <c r="MVZ481" s="13"/>
      <c r="MWA481" s="13"/>
      <c r="MWB481" s="13"/>
      <c r="MWC481" s="13"/>
      <c r="MWD481" s="13"/>
      <c r="MWE481" s="13"/>
      <c r="MWF481" s="13"/>
      <c r="MWG481" s="13"/>
      <c r="MWH481" s="13"/>
      <c r="MWI481" s="13"/>
      <c r="MWJ481" s="13"/>
      <c r="MWK481" s="13"/>
      <c r="MWL481" s="13"/>
      <c r="MWM481" s="13"/>
      <c r="MWN481" s="13"/>
      <c r="MWO481" s="13"/>
      <c r="MWP481" s="13"/>
      <c r="MWQ481" s="13"/>
      <c r="MWR481" s="13"/>
      <c r="MWS481" s="13"/>
      <c r="MWT481" s="13"/>
      <c r="MWU481" s="13"/>
      <c r="MWV481" s="13"/>
      <c r="MWW481" s="13"/>
      <c r="MWX481" s="13"/>
      <c r="MWY481" s="13"/>
      <c r="MWZ481" s="13"/>
      <c r="MXA481" s="13"/>
      <c r="MXB481" s="13"/>
      <c r="MXC481" s="13"/>
      <c r="MXD481" s="13"/>
      <c r="MXE481" s="13"/>
      <c r="MXF481" s="13"/>
      <c r="MXG481" s="13"/>
      <c r="MXH481" s="13"/>
      <c r="MXI481" s="13"/>
      <c r="MXJ481" s="13"/>
      <c r="MXK481" s="13"/>
      <c r="MXL481" s="13"/>
      <c r="MXM481" s="13"/>
      <c r="MXN481" s="13"/>
      <c r="MXO481" s="13"/>
      <c r="MXP481" s="13"/>
      <c r="MXQ481" s="13"/>
      <c r="MXR481" s="13"/>
      <c r="MXS481" s="13"/>
      <c r="MXT481" s="13"/>
      <c r="MXU481" s="13"/>
      <c r="MXV481" s="13"/>
      <c r="MXW481" s="13"/>
      <c r="MXX481" s="13"/>
      <c r="MXY481" s="13"/>
      <c r="MXZ481" s="13"/>
      <c r="MYA481" s="13"/>
      <c r="MYB481" s="13"/>
      <c r="MYC481" s="13"/>
      <c r="MYD481" s="13"/>
      <c r="MYE481" s="13"/>
      <c r="MYF481" s="13"/>
      <c r="MYG481" s="13"/>
      <c r="MYH481" s="13"/>
      <c r="MYI481" s="13"/>
      <c r="MYJ481" s="13"/>
      <c r="MYK481" s="13"/>
      <c r="MYL481" s="13"/>
      <c r="MYM481" s="13"/>
      <c r="MYN481" s="13"/>
      <c r="MYO481" s="13"/>
      <c r="MYP481" s="13"/>
      <c r="MYQ481" s="13"/>
      <c r="MYR481" s="13"/>
      <c r="MYS481" s="13"/>
      <c r="MYT481" s="13"/>
      <c r="MYU481" s="13"/>
      <c r="MYV481" s="13"/>
      <c r="MYW481" s="13"/>
      <c r="MYX481" s="13"/>
      <c r="MYY481" s="13"/>
      <c r="MYZ481" s="13"/>
      <c r="MZA481" s="13"/>
      <c r="MZB481" s="13"/>
      <c r="MZC481" s="13"/>
      <c r="MZD481" s="13"/>
      <c r="MZE481" s="13"/>
      <c r="MZF481" s="13"/>
      <c r="MZG481" s="13"/>
      <c r="MZH481" s="13"/>
      <c r="MZI481" s="13"/>
      <c r="MZJ481" s="13"/>
      <c r="MZK481" s="13"/>
      <c r="MZL481" s="13"/>
      <c r="MZM481" s="13"/>
      <c r="MZN481" s="13"/>
      <c r="MZO481" s="13"/>
      <c r="MZP481" s="13"/>
      <c r="MZQ481" s="13"/>
      <c r="MZR481" s="13"/>
      <c r="MZS481" s="13"/>
      <c r="MZT481" s="13"/>
      <c r="MZU481" s="13"/>
      <c r="MZV481" s="13"/>
      <c r="MZW481" s="13"/>
      <c r="MZX481" s="13"/>
      <c r="MZY481" s="13"/>
      <c r="MZZ481" s="13"/>
      <c r="NAA481" s="13"/>
      <c r="NAB481" s="13"/>
      <c r="NAC481" s="13"/>
      <c r="NAD481" s="13"/>
      <c r="NAE481" s="13"/>
      <c r="NAF481" s="13"/>
      <c r="NAG481" s="13"/>
      <c r="NAH481" s="13"/>
      <c r="NAI481" s="13"/>
      <c r="NAJ481" s="13"/>
      <c r="NAK481" s="13"/>
      <c r="NAL481" s="13"/>
      <c r="NAM481" s="13"/>
      <c r="NAN481" s="13"/>
      <c r="NAO481" s="13"/>
      <c r="NAP481" s="13"/>
      <c r="NAQ481" s="13"/>
      <c r="NAR481" s="13"/>
      <c r="NAS481" s="13"/>
      <c r="NAT481" s="13"/>
      <c r="NAU481" s="13"/>
      <c r="NAV481" s="13"/>
      <c r="NAW481" s="13"/>
      <c r="NAX481" s="13"/>
      <c r="NAY481" s="13"/>
      <c r="NAZ481" s="13"/>
      <c r="NBA481" s="13"/>
      <c r="NBB481" s="13"/>
      <c r="NBC481" s="13"/>
      <c r="NBD481" s="13"/>
      <c r="NBE481" s="13"/>
      <c r="NBF481" s="13"/>
      <c r="NBG481" s="13"/>
      <c r="NBH481" s="13"/>
      <c r="NBI481" s="13"/>
      <c r="NBJ481" s="13"/>
      <c r="NBK481" s="13"/>
      <c r="NBL481" s="13"/>
      <c r="NBM481" s="13"/>
      <c r="NBN481" s="13"/>
      <c r="NBO481" s="13"/>
      <c r="NBP481" s="13"/>
      <c r="NBQ481" s="13"/>
      <c r="NBR481" s="13"/>
      <c r="NBS481" s="13"/>
      <c r="NBT481" s="13"/>
      <c r="NBU481" s="13"/>
      <c r="NBV481" s="13"/>
      <c r="NBW481" s="13"/>
      <c r="NBX481" s="13"/>
      <c r="NBY481" s="13"/>
      <c r="NBZ481" s="13"/>
      <c r="NCA481" s="13"/>
      <c r="NCB481" s="13"/>
      <c r="NCC481" s="13"/>
      <c r="NCD481" s="13"/>
      <c r="NCE481" s="13"/>
      <c r="NCF481" s="13"/>
      <c r="NCG481" s="13"/>
      <c r="NCH481" s="13"/>
      <c r="NCI481" s="13"/>
      <c r="NCJ481" s="13"/>
      <c r="NCK481" s="13"/>
      <c r="NCL481" s="13"/>
      <c r="NCM481" s="13"/>
      <c r="NCN481" s="13"/>
      <c r="NCO481" s="13"/>
      <c r="NCP481" s="13"/>
      <c r="NCQ481" s="13"/>
      <c r="NCR481" s="13"/>
      <c r="NCS481" s="13"/>
      <c r="NCT481" s="13"/>
      <c r="NCU481" s="13"/>
      <c r="NCV481" s="13"/>
      <c r="NCW481" s="13"/>
      <c r="NCX481" s="13"/>
      <c r="NCY481" s="13"/>
      <c r="NCZ481" s="13"/>
      <c r="NDA481" s="13"/>
      <c r="NDB481" s="13"/>
      <c r="NDC481" s="13"/>
      <c r="NDD481" s="13"/>
      <c r="NDE481" s="13"/>
      <c r="NDF481" s="13"/>
      <c r="NDG481" s="13"/>
      <c r="NDH481" s="13"/>
      <c r="NDI481" s="13"/>
      <c r="NDJ481" s="13"/>
      <c r="NDK481" s="13"/>
      <c r="NDL481" s="13"/>
      <c r="NDM481" s="13"/>
      <c r="NDN481" s="13"/>
      <c r="NDO481" s="13"/>
      <c r="NDP481" s="13"/>
      <c r="NDQ481" s="13"/>
      <c r="NDR481" s="13"/>
      <c r="NDS481" s="13"/>
      <c r="NDT481" s="13"/>
      <c r="NDU481" s="13"/>
      <c r="NDV481" s="13"/>
      <c r="NDW481" s="13"/>
      <c r="NDX481" s="13"/>
      <c r="NDY481" s="13"/>
      <c r="NDZ481" s="13"/>
      <c r="NEA481" s="13"/>
      <c r="NEB481" s="13"/>
      <c r="NEC481" s="13"/>
      <c r="NED481" s="13"/>
      <c r="NEE481" s="13"/>
      <c r="NEF481" s="13"/>
      <c r="NEG481" s="13"/>
      <c r="NEH481" s="13"/>
      <c r="NEI481" s="13"/>
      <c r="NEJ481" s="13"/>
      <c r="NEK481" s="13"/>
      <c r="NEL481" s="13"/>
      <c r="NEM481" s="13"/>
      <c r="NEN481" s="13"/>
      <c r="NEO481" s="13"/>
      <c r="NEP481" s="13"/>
      <c r="NEQ481" s="13"/>
      <c r="NER481" s="13"/>
      <c r="NES481" s="13"/>
      <c r="NET481" s="13"/>
      <c r="NEU481" s="13"/>
      <c r="NEV481" s="13"/>
      <c r="NEW481" s="13"/>
      <c r="NEX481" s="13"/>
      <c r="NEY481" s="13"/>
      <c r="NEZ481" s="13"/>
      <c r="NFA481" s="13"/>
      <c r="NFB481" s="13"/>
      <c r="NFC481" s="13"/>
      <c r="NFD481" s="13"/>
      <c r="NFE481" s="13"/>
      <c r="NFF481" s="13"/>
      <c r="NFG481" s="13"/>
      <c r="NFH481" s="13"/>
      <c r="NFI481" s="13"/>
      <c r="NFJ481" s="13"/>
      <c r="NFK481" s="13"/>
      <c r="NFL481" s="13"/>
      <c r="NFM481" s="13"/>
      <c r="NFN481" s="13"/>
      <c r="NFO481" s="13"/>
      <c r="NFP481" s="13"/>
      <c r="NFQ481" s="13"/>
      <c r="NFR481" s="13"/>
      <c r="NFS481" s="13"/>
      <c r="NFT481" s="13"/>
      <c r="NFU481" s="13"/>
      <c r="NFV481" s="13"/>
      <c r="NFW481" s="13"/>
      <c r="NFX481" s="13"/>
      <c r="NFY481" s="13"/>
      <c r="NFZ481" s="13"/>
      <c r="NGA481" s="13"/>
      <c r="NGB481" s="13"/>
      <c r="NGC481" s="13"/>
      <c r="NGD481" s="13"/>
      <c r="NGE481" s="13"/>
      <c r="NGF481" s="13"/>
      <c r="NGG481" s="13"/>
      <c r="NGH481" s="13"/>
      <c r="NGI481" s="13"/>
      <c r="NGJ481" s="13"/>
      <c r="NGK481" s="13"/>
      <c r="NGL481" s="13"/>
      <c r="NGM481" s="13"/>
      <c r="NGN481" s="13"/>
      <c r="NGO481" s="13"/>
      <c r="NGP481" s="13"/>
      <c r="NGQ481" s="13"/>
      <c r="NGR481" s="13"/>
      <c r="NGS481" s="13"/>
      <c r="NGT481" s="13"/>
      <c r="NGU481" s="13"/>
      <c r="NGV481" s="13"/>
      <c r="NGW481" s="13"/>
      <c r="NGX481" s="13"/>
      <c r="NGY481" s="13"/>
      <c r="NGZ481" s="13"/>
      <c r="NHA481" s="13"/>
      <c r="NHB481" s="13"/>
      <c r="NHC481" s="13"/>
      <c r="NHD481" s="13"/>
      <c r="NHE481" s="13"/>
      <c r="NHF481" s="13"/>
      <c r="NHG481" s="13"/>
      <c r="NHH481" s="13"/>
      <c r="NHI481" s="13"/>
      <c r="NHJ481" s="13"/>
      <c r="NHK481" s="13"/>
      <c r="NHL481" s="13"/>
      <c r="NHM481" s="13"/>
      <c r="NHN481" s="13"/>
      <c r="NHO481" s="13"/>
      <c r="NHP481" s="13"/>
      <c r="NHQ481" s="13"/>
      <c r="NHR481" s="13"/>
      <c r="NHS481" s="13"/>
      <c r="NHT481" s="13"/>
      <c r="NHU481" s="13"/>
      <c r="NHV481" s="13"/>
      <c r="NHW481" s="13"/>
      <c r="NHX481" s="13"/>
      <c r="NHY481" s="13"/>
      <c r="NHZ481" s="13"/>
      <c r="NIA481" s="13"/>
      <c r="NIB481" s="13"/>
      <c r="NIC481" s="13"/>
      <c r="NID481" s="13"/>
      <c r="NIE481" s="13"/>
      <c r="NIF481" s="13"/>
      <c r="NIG481" s="13"/>
      <c r="NIH481" s="13"/>
      <c r="NII481" s="13"/>
      <c r="NIJ481" s="13"/>
      <c r="NIK481" s="13"/>
      <c r="NIL481" s="13"/>
      <c r="NIM481" s="13"/>
      <c r="NIN481" s="13"/>
      <c r="NIO481" s="13"/>
      <c r="NIP481" s="13"/>
      <c r="NIQ481" s="13"/>
      <c r="NIR481" s="13"/>
      <c r="NIS481" s="13"/>
      <c r="NIT481" s="13"/>
      <c r="NIU481" s="13"/>
      <c r="NIV481" s="13"/>
      <c r="NIW481" s="13"/>
      <c r="NIX481" s="13"/>
      <c r="NIY481" s="13"/>
      <c r="NIZ481" s="13"/>
      <c r="NJA481" s="13"/>
      <c r="NJB481" s="13"/>
      <c r="NJC481" s="13"/>
      <c r="NJD481" s="13"/>
      <c r="NJE481" s="13"/>
      <c r="NJF481" s="13"/>
      <c r="NJG481" s="13"/>
      <c r="NJH481" s="13"/>
      <c r="NJI481" s="13"/>
      <c r="NJJ481" s="13"/>
      <c r="NJK481" s="13"/>
      <c r="NJL481" s="13"/>
      <c r="NJM481" s="13"/>
      <c r="NJN481" s="13"/>
      <c r="NJO481" s="13"/>
      <c r="NJP481" s="13"/>
      <c r="NJQ481" s="13"/>
      <c r="NJR481" s="13"/>
      <c r="NJS481" s="13"/>
      <c r="NJT481" s="13"/>
      <c r="NJU481" s="13"/>
      <c r="NJV481" s="13"/>
      <c r="NJW481" s="13"/>
      <c r="NJX481" s="13"/>
      <c r="NJY481" s="13"/>
      <c r="NJZ481" s="13"/>
      <c r="NKA481" s="13"/>
      <c r="NKB481" s="13"/>
      <c r="NKC481" s="13"/>
      <c r="NKD481" s="13"/>
      <c r="NKE481" s="13"/>
      <c r="NKF481" s="13"/>
      <c r="NKG481" s="13"/>
      <c r="NKH481" s="13"/>
      <c r="NKI481" s="13"/>
      <c r="NKJ481" s="13"/>
      <c r="NKK481" s="13"/>
      <c r="NKL481" s="13"/>
      <c r="NKM481" s="13"/>
      <c r="NKN481" s="13"/>
      <c r="NKO481" s="13"/>
      <c r="NKP481" s="13"/>
      <c r="NKQ481" s="13"/>
      <c r="NKR481" s="13"/>
      <c r="NKS481" s="13"/>
      <c r="NKT481" s="13"/>
      <c r="NKU481" s="13"/>
      <c r="NKV481" s="13"/>
      <c r="NKW481" s="13"/>
      <c r="NKX481" s="13"/>
      <c r="NKY481" s="13"/>
      <c r="NKZ481" s="13"/>
      <c r="NLA481" s="13"/>
      <c r="NLB481" s="13"/>
      <c r="NLC481" s="13"/>
      <c r="NLD481" s="13"/>
      <c r="NLE481" s="13"/>
      <c r="NLF481" s="13"/>
      <c r="NLG481" s="13"/>
      <c r="NLH481" s="13"/>
      <c r="NLI481" s="13"/>
      <c r="NLJ481" s="13"/>
      <c r="NLK481" s="13"/>
      <c r="NLL481" s="13"/>
      <c r="NLM481" s="13"/>
      <c r="NLN481" s="13"/>
      <c r="NLO481" s="13"/>
      <c r="NLP481" s="13"/>
      <c r="NLQ481" s="13"/>
      <c r="NLR481" s="13"/>
      <c r="NLS481" s="13"/>
      <c r="NLT481" s="13"/>
      <c r="NLU481" s="13"/>
      <c r="NLV481" s="13"/>
      <c r="NLW481" s="13"/>
      <c r="NLX481" s="13"/>
      <c r="NLY481" s="13"/>
      <c r="NLZ481" s="13"/>
      <c r="NMA481" s="13"/>
      <c r="NMB481" s="13"/>
      <c r="NMC481" s="13"/>
      <c r="NMD481" s="13"/>
      <c r="NME481" s="13"/>
      <c r="NMF481" s="13"/>
      <c r="NMG481" s="13"/>
      <c r="NMH481" s="13"/>
      <c r="NMI481" s="13"/>
      <c r="NMJ481" s="13"/>
      <c r="NMK481" s="13"/>
      <c r="NML481" s="13"/>
      <c r="NMM481" s="13"/>
      <c r="NMN481" s="13"/>
      <c r="NMO481" s="13"/>
      <c r="NMP481" s="13"/>
      <c r="NMQ481" s="13"/>
      <c r="NMR481" s="13"/>
      <c r="NMS481" s="13"/>
      <c r="NMT481" s="13"/>
      <c r="NMU481" s="13"/>
      <c r="NMV481" s="13"/>
      <c r="NMW481" s="13"/>
      <c r="NMX481" s="13"/>
      <c r="NMY481" s="13"/>
      <c r="NMZ481" s="13"/>
      <c r="NNA481" s="13"/>
      <c r="NNB481" s="13"/>
      <c r="NNC481" s="13"/>
      <c r="NND481" s="13"/>
      <c r="NNE481" s="13"/>
      <c r="NNF481" s="13"/>
      <c r="NNG481" s="13"/>
      <c r="NNH481" s="13"/>
      <c r="NNI481" s="13"/>
      <c r="NNJ481" s="13"/>
      <c r="NNK481" s="13"/>
      <c r="NNL481" s="13"/>
      <c r="NNM481" s="13"/>
      <c r="NNN481" s="13"/>
      <c r="NNO481" s="13"/>
      <c r="NNP481" s="13"/>
      <c r="NNQ481" s="13"/>
      <c r="NNR481" s="13"/>
      <c r="NNS481" s="13"/>
      <c r="NNT481" s="13"/>
      <c r="NNU481" s="13"/>
      <c r="NNV481" s="13"/>
      <c r="NNW481" s="13"/>
      <c r="NNX481" s="13"/>
      <c r="NNY481" s="13"/>
      <c r="NNZ481" s="13"/>
      <c r="NOA481" s="13"/>
      <c r="NOB481" s="13"/>
      <c r="NOC481" s="13"/>
      <c r="NOD481" s="13"/>
      <c r="NOE481" s="13"/>
      <c r="NOF481" s="13"/>
      <c r="NOG481" s="13"/>
      <c r="NOH481" s="13"/>
      <c r="NOI481" s="13"/>
      <c r="NOJ481" s="13"/>
      <c r="NOK481" s="13"/>
      <c r="NOL481" s="13"/>
      <c r="NOM481" s="13"/>
      <c r="NON481" s="13"/>
      <c r="NOO481" s="13"/>
      <c r="NOP481" s="13"/>
      <c r="NOQ481" s="13"/>
      <c r="NOR481" s="13"/>
      <c r="NOS481" s="13"/>
      <c r="NOT481" s="13"/>
      <c r="NOU481" s="13"/>
      <c r="NOV481" s="13"/>
      <c r="NOW481" s="13"/>
      <c r="NOX481" s="13"/>
      <c r="NOY481" s="13"/>
      <c r="NOZ481" s="13"/>
      <c r="NPA481" s="13"/>
      <c r="NPB481" s="13"/>
      <c r="NPC481" s="13"/>
      <c r="NPD481" s="13"/>
      <c r="NPE481" s="13"/>
      <c r="NPF481" s="13"/>
      <c r="NPG481" s="13"/>
      <c r="NPH481" s="13"/>
      <c r="NPI481" s="13"/>
      <c r="NPJ481" s="13"/>
      <c r="NPK481" s="13"/>
      <c r="NPL481" s="13"/>
      <c r="NPM481" s="13"/>
      <c r="NPN481" s="13"/>
      <c r="NPO481" s="13"/>
      <c r="NPP481" s="13"/>
      <c r="NPQ481" s="13"/>
      <c r="NPR481" s="13"/>
      <c r="NPS481" s="13"/>
      <c r="NPT481" s="13"/>
      <c r="NPU481" s="13"/>
      <c r="NPV481" s="13"/>
      <c r="NPW481" s="13"/>
      <c r="NPX481" s="13"/>
      <c r="NPY481" s="13"/>
      <c r="NPZ481" s="13"/>
      <c r="NQA481" s="13"/>
      <c r="NQB481" s="13"/>
      <c r="NQC481" s="13"/>
      <c r="NQD481" s="13"/>
      <c r="NQE481" s="13"/>
      <c r="NQF481" s="13"/>
      <c r="NQG481" s="13"/>
      <c r="NQH481" s="13"/>
      <c r="NQI481" s="13"/>
      <c r="NQJ481" s="13"/>
      <c r="NQK481" s="13"/>
      <c r="NQL481" s="13"/>
      <c r="NQM481" s="13"/>
      <c r="NQN481" s="13"/>
      <c r="NQO481" s="13"/>
      <c r="NQP481" s="13"/>
      <c r="NQQ481" s="13"/>
      <c r="NQR481" s="13"/>
      <c r="NQS481" s="13"/>
      <c r="NQT481" s="13"/>
      <c r="NQU481" s="13"/>
      <c r="NQV481" s="13"/>
      <c r="NQW481" s="13"/>
      <c r="NQX481" s="13"/>
      <c r="NQY481" s="13"/>
      <c r="NQZ481" s="13"/>
      <c r="NRA481" s="13"/>
      <c r="NRB481" s="13"/>
      <c r="NRC481" s="13"/>
      <c r="NRD481" s="13"/>
      <c r="NRE481" s="13"/>
      <c r="NRF481" s="13"/>
      <c r="NRG481" s="13"/>
      <c r="NRH481" s="13"/>
      <c r="NRI481" s="13"/>
      <c r="NRJ481" s="13"/>
      <c r="NRK481" s="13"/>
      <c r="NRL481" s="13"/>
      <c r="NRM481" s="13"/>
      <c r="NRN481" s="13"/>
      <c r="NRO481" s="13"/>
      <c r="NRP481" s="13"/>
      <c r="NRQ481" s="13"/>
      <c r="NRR481" s="13"/>
      <c r="NRS481" s="13"/>
      <c r="NRT481" s="13"/>
      <c r="NRU481" s="13"/>
      <c r="NRV481" s="13"/>
      <c r="NRW481" s="13"/>
      <c r="NRX481" s="13"/>
      <c r="NRY481" s="13"/>
      <c r="NRZ481" s="13"/>
      <c r="NSA481" s="13"/>
      <c r="NSB481" s="13"/>
      <c r="NSC481" s="13"/>
      <c r="NSD481" s="13"/>
      <c r="NSE481" s="13"/>
      <c r="NSF481" s="13"/>
      <c r="NSG481" s="13"/>
      <c r="NSH481" s="13"/>
      <c r="NSI481" s="13"/>
      <c r="NSJ481" s="13"/>
      <c r="NSK481" s="13"/>
      <c r="NSL481" s="13"/>
      <c r="NSM481" s="13"/>
      <c r="NSN481" s="13"/>
      <c r="NSO481" s="13"/>
      <c r="NSP481" s="13"/>
      <c r="NSQ481" s="13"/>
      <c r="NSR481" s="13"/>
      <c r="NSS481" s="13"/>
      <c r="NST481" s="13"/>
      <c r="NSU481" s="13"/>
      <c r="NSV481" s="13"/>
      <c r="NSW481" s="13"/>
      <c r="NSX481" s="13"/>
      <c r="NSY481" s="13"/>
      <c r="NSZ481" s="13"/>
      <c r="NTA481" s="13"/>
      <c r="NTB481" s="13"/>
      <c r="NTC481" s="13"/>
      <c r="NTD481" s="13"/>
      <c r="NTE481" s="13"/>
      <c r="NTF481" s="13"/>
      <c r="NTG481" s="13"/>
      <c r="NTH481" s="13"/>
      <c r="NTI481" s="13"/>
      <c r="NTJ481" s="13"/>
      <c r="NTK481" s="13"/>
      <c r="NTL481" s="13"/>
      <c r="NTM481" s="13"/>
      <c r="NTN481" s="13"/>
      <c r="NTO481" s="13"/>
      <c r="NTP481" s="13"/>
      <c r="NTQ481" s="13"/>
      <c r="NTR481" s="13"/>
      <c r="NTS481" s="13"/>
      <c r="NTT481" s="13"/>
      <c r="NTU481" s="13"/>
      <c r="NTV481" s="13"/>
      <c r="NTW481" s="13"/>
      <c r="NTX481" s="13"/>
      <c r="NTY481" s="13"/>
      <c r="NTZ481" s="13"/>
      <c r="NUA481" s="13"/>
      <c r="NUB481" s="13"/>
      <c r="NUC481" s="13"/>
      <c r="NUD481" s="13"/>
      <c r="NUE481" s="13"/>
      <c r="NUF481" s="13"/>
      <c r="NUG481" s="13"/>
      <c r="NUH481" s="13"/>
      <c r="NUI481" s="13"/>
      <c r="NUJ481" s="13"/>
      <c r="NUK481" s="13"/>
      <c r="NUL481" s="13"/>
      <c r="NUM481" s="13"/>
      <c r="NUN481" s="13"/>
      <c r="NUO481" s="13"/>
      <c r="NUP481" s="13"/>
      <c r="NUQ481" s="13"/>
      <c r="NUR481" s="13"/>
      <c r="NUS481" s="13"/>
      <c r="NUT481" s="13"/>
      <c r="NUU481" s="13"/>
      <c r="NUV481" s="13"/>
      <c r="NUW481" s="13"/>
      <c r="NUX481" s="13"/>
      <c r="NUY481" s="13"/>
      <c r="NUZ481" s="13"/>
      <c r="NVA481" s="13"/>
      <c r="NVB481" s="13"/>
      <c r="NVC481" s="13"/>
      <c r="NVD481" s="13"/>
      <c r="NVE481" s="13"/>
      <c r="NVF481" s="13"/>
      <c r="NVG481" s="13"/>
      <c r="NVH481" s="13"/>
      <c r="NVI481" s="13"/>
      <c r="NVJ481" s="13"/>
      <c r="NVK481" s="13"/>
      <c r="NVL481" s="13"/>
      <c r="NVM481" s="13"/>
      <c r="NVN481" s="13"/>
      <c r="NVO481" s="13"/>
      <c r="NVP481" s="13"/>
      <c r="NVQ481" s="13"/>
      <c r="NVR481" s="13"/>
      <c r="NVS481" s="13"/>
      <c r="NVT481" s="13"/>
      <c r="NVU481" s="13"/>
      <c r="NVV481" s="13"/>
      <c r="NVW481" s="13"/>
      <c r="NVX481" s="13"/>
      <c r="NVY481" s="13"/>
      <c r="NVZ481" s="13"/>
      <c r="NWA481" s="13"/>
      <c r="NWB481" s="13"/>
      <c r="NWC481" s="13"/>
      <c r="NWD481" s="13"/>
      <c r="NWE481" s="13"/>
      <c r="NWF481" s="13"/>
      <c r="NWG481" s="13"/>
      <c r="NWH481" s="13"/>
      <c r="NWI481" s="13"/>
      <c r="NWJ481" s="13"/>
      <c r="NWK481" s="13"/>
      <c r="NWL481" s="13"/>
      <c r="NWM481" s="13"/>
      <c r="NWN481" s="13"/>
      <c r="NWO481" s="13"/>
      <c r="NWP481" s="13"/>
      <c r="NWQ481" s="13"/>
      <c r="NWR481" s="13"/>
      <c r="NWS481" s="13"/>
      <c r="NWT481" s="13"/>
      <c r="NWU481" s="13"/>
      <c r="NWV481" s="13"/>
      <c r="NWW481" s="13"/>
      <c r="NWX481" s="13"/>
      <c r="NWY481" s="13"/>
      <c r="NWZ481" s="13"/>
      <c r="NXA481" s="13"/>
      <c r="NXB481" s="13"/>
      <c r="NXC481" s="13"/>
      <c r="NXD481" s="13"/>
      <c r="NXE481" s="13"/>
      <c r="NXF481" s="13"/>
      <c r="NXG481" s="13"/>
      <c r="NXH481" s="13"/>
      <c r="NXI481" s="13"/>
      <c r="NXJ481" s="13"/>
      <c r="NXK481" s="13"/>
      <c r="NXL481" s="13"/>
      <c r="NXM481" s="13"/>
      <c r="NXN481" s="13"/>
      <c r="NXO481" s="13"/>
      <c r="NXP481" s="13"/>
      <c r="NXQ481" s="13"/>
      <c r="NXR481" s="13"/>
      <c r="NXS481" s="13"/>
      <c r="NXT481" s="13"/>
      <c r="NXU481" s="13"/>
      <c r="NXV481" s="13"/>
      <c r="NXW481" s="13"/>
      <c r="NXX481" s="13"/>
      <c r="NXY481" s="13"/>
      <c r="NXZ481" s="13"/>
      <c r="NYA481" s="13"/>
      <c r="NYB481" s="13"/>
      <c r="NYC481" s="13"/>
      <c r="NYD481" s="13"/>
      <c r="NYE481" s="13"/>
      <c r="NYF481" s="13"/>
      <c r="NYG481" s="13"/>
      <c r="NYH481" s="13"/>
      <c r="NYI481" s="13"/>
      <c r="NYJ481" s="13"/>
      <c r="NYK481" s="13"/>
      <c r="NYL481" s="13"/>
      <c r="NYM481" s="13"/>
      <c r="NYN481" s="13"/>
      <c r="NYO481" s="13"/>
      <c r="NYP481" s="13"/>
      <c r="NYQ481" s="13"/>
      <c r="NYR481" s="13"/>
      <c r="NYS481" s="13"/>
      <c r="NYT481" s="13"/>
      <c r="NYU481" s="13"/>
      <c r="NYV481" s="13"/>
      <c r="NYW481" s="13"/>
      <c r="NYX481" s="13"/>
      <c r="NYY481" s="13"/>
      <c r="NYZ481" s="13"/>
      <c r="NZA481" s="13"/>
      <c r="NZB481" s="13"/>
      <c r="NZC481" s="13"/>
      <c r="NZD481" s="13"/>
      <c r="NZE481" s="13"/>
      <c r="NZF481" s="13"/>
      <c r="NZG481" s="13"/>
      <c r="NZH481" s="13"/>
      <c r="NZI481" s="13"/>
      <c r="NZJ481" s="13"/>
      <c r="NZK481" s="13"/>
      <c r="NZL481" s="13"/>
      <c r="NZM481" s="13"/>
      <c r="NZN481" s="13"/>
      <c r="NZO481" s="13"/>
      <c r="NZP481" s="13"/>
      <c r="NZQ481" s="13"/>
      <c r="NZR481" s="13"/>
      <c r="NZS481" s="13"/>
      <c r="NZT481" s="13"/>
      <c r="NZU481" s="13"/>
      <c r="NZV481" s="13"/>
      <c r="NZW481" s="13"/>
      <c r="NZX481" s="13"/>
      <c r="NZY481" s="13"/>
      <c r="NZZ481" s="13"/>
      <c r="OAA481" s="13"/>
      <c r="OAB481" s="13"/>
      <c r="OAC481" s="13"/>
      <c r="OAD481" s="13"/>
      <c r="OAE481" s="13"/>
      <c r="OAF481" s="13"/>
      <c r="OAG481" s="13"/>
      <c r="OAH481" s="13"/>
      <c r="OAI481" s="13"/>
      <c r="OAJ481" s="13"/>
      <c r="OAK481" s="13"/>
      <c r="OAL481" s="13"/>
      <c r="OAM481" s="13"/>
      <c r="OAN481" s="13"/>
      <c r="OAO481" s="13"/>
      <c r="OAP481" s="13"/>
      <c r="OAQ481" s="13"/>
      <c r="OAR481" s="13"/>
      <c r="OAS481" s="13"/>
      <c r="OAT481" s="13"/>
      <c r="OAU481" s="13"/>
      <c r="OAV481" s="13"/>
      <c r="OAW481" s="13"/>
      <c r="OAX481" s="13"/>
      <c r="OAY481" s="13"/>
      <c r="OAZ481" s="13"/>
      <c r="OBA481" s="13"/>
      <c r="OBB481" s="13"/>
      <c r="OBC481" s="13"/>
      <c r="OBD481" s="13"/>
      <c r="OBE481" s="13"/>
      <c r="OBF481" s="13"/>
      <c r="OBG481" s="13"/>
      <c r="OBH481" s="13"/>
      <c r="OBI481" s="13"/>
      <c r="OBJ481" s="13"/>
      <c r="OBK481" s="13"/>
      <c r="OBL481" s="13"/>
      <c r="OBM481" s="13"/>
      <c r="OBN481" s="13"/>
      <c r="OBO481" s="13"/>
      <c r="OBP481" s="13"/>
      <c r="OBQ481" s="13"/>
      <c r="OBR481" s="13"/>
      <c r="OBS481" s="13"/>
      <c r="OBT481" s="13"/>
      <c r="OBU481" s="13"/>
      <c r="OBV481" s="13"/>
      <c r="OBW481" s="13"/>
      <c r="OBX481" s="13"/>
      <c r="OBY481" s="13"/>
      <c r="OBZ481" s="13"/>
      <c r="OCA481" s="13"/>
      <c r="OCB481" s="13"/>
      <c r="OCC481" s="13"/>
      <c r="OCD481" s="13"/>
      <c r="OCE481" s="13"/>
      <c r="OCF481" s="13"/>
      <c r="OCG481" s="13"/>
      <c r="OCH481" s="13"/>
      <c r="OCI481" s="13"/>
      <c r="OCJ481" s="13"/>
      <c r="OCK481" s="13"/>
      <c r="OCL481" s="13"/>
      <c r="OCM481" s="13"/>
      <c r="OCN481" s="13"/>
      <c r="OCO481" s="13"/>
      <c r="OCP481" s="13"/>
      <c r="OCQ481" s="13"/>
      <c r="OCR481" s="13"/>
      <c r="OCS481" s="13"/>
      <c r="OCT481" s="13"/>
      <c r="OCU481" s="13"/>
      <c r="OCV481" s="13"/>
      <c r="OCW481" s="13"/>
      <c r="OCX481" s="13"/>
      <c r="OCY481" s="13"/>
      <c r="OCZ481" s="13"/>
      <c r="ODA481" s="13"/>
      <c r="ODB481" s="13"/>
      <c r="ODC481" s="13"/>
      <c r="ODD481" s="13"/>
      <c r="ODE481" s="13"/>
      <c r="ODF481" s="13"/>
      <c r="ODG481" s="13"/>
      <c r="ODH481" s="13"/>
      <c r="ODI481" s="13"/>
      <c r="ODJ481" s="13"/>
      <c r="ODK481" s="13"/>
      <c r="ODL481" s="13"/>
      <c r="ODM481" s="13"/>
      <c r="ODN481" s="13"/>
      <c r="ODO481" s="13"/>
      <c r="ODP481" s="13"/>
      <c r="ODQ481" s="13"/>
      <c r="ODR481" s="13"/>
      <c r="ODS481" s="13"/>
      <c r="ODT481" s="13"/>
      <c r="ODU481" s="13"/>
      <c r="ODV481" s="13"/>
      <c r="ODW481" s="13"/>
      <c r="ODX481" s="13"/>
      <c r="ODY481" s="13"/>
      <c r="ODZ481" s="13"/>
      <c r="OEA481" s="13"/>
      <c r="OEB481" s="13"/>
      <c r="OEC481" s="13"/>
      <c r="OED481" s="13"/>
      <c r="OEE481" s="13"/>
      <c r="OEF481" s="13"/>
      <c r="OEG481" s="13"/>
      <c r="OEH481" s="13"/>
      <c r="OEI481" s="13"/>
      <c r="OEJ481" s="13"/>
      <c r="OEK481" s="13"/>
      <c r="OEL481" s="13"/>
      <c r="OEM481" s="13"/>
      <c r="OEN481" s="13"/>
      <c r="OEO481" s="13"/>
      <c r="OEP481" s="13"/>
      <c r="OEQ481" s="13"/>
      <c r="OER481" s="13"/>
      <c r="OES481" s="13"/>
      <c r="OET481" s="13"/>
      <c r="OEU481" s="13"/>
      <c r="OEV481" s="13"/>
      <c r="OEW481" s="13"/>
      <c r="OEX481" s="13"/>
      <c r="OEY481" s="13"/>
      <c r="OEZ481" s="13"/>
      <c r="OFA481" s="13"/>
      <c r="OFB481" s="13"/>
      <c r="OFC481" s="13"/>
      <c r="OFD481" s="13"/>
      <c r="OFE481" s="13"/>
      <c r="OFF481" s="13"/>
      <c r="OFG481" s="13"/>
      <c r="OFH481" s="13"/>
      <c r="OFI481" s="13"/>
      <c r="OFJ481" s="13"/>
      <c r="OFK481" s="13"/>
      <c r="OFL481" s="13"/>
      <c r="OFM481" s="13"/>
      <c r="OFN481" s="13"/>
      <c r="OFO481" s="13"/>
      <c r="OFP481" s="13"/>
      <c r="OFQ481" s="13"/>
      <c r="OFR481" s="13"/>
      <c r="OFS481" s="13"/>
      <c r="OFT481" s="13"/>
      <c r="OFU481" s="13"/>
      <c r="OFV481" s="13"/>
      <c r="OFW481" s="13"/>
      <c r="OFX481" s="13"/>
      <c r="OFY481" s="13"/>
      <c r="OFZ481" s="13"/>
      <c r="OGA481" s="13"/>
      <c r="OGB481" s="13"/>
      <c r="OGC481" s="13"/>
      <c r="OGD481" s="13"/>
      <c r="OGE481" s="13"/>
      <c r="OGF481" s="13"/>
      <c r="OGG481" s="13"/>
      <c r="OGH481" s="13"/>
      <c r="OGI481" s="13"/>
      <c r="OGJ481" s="13"/>
      <c r="OGK481" s="13"/>
      <c r="OGL481" s="13"/>
      <c r="OGM481" s="13"/>
      <c r="OGN481" s="13"/>
      <c r="OGO481" s="13"/>
      <c r="OGP481" s="13"/>
      <c r="OGQ481" s="13"/>
      <c r="OGR481" s="13"/>
      <c r="OGS481" s="13"/>
      <c r="OGT481" s="13"/>
      <c r="OGU481" s="13"/>
      <c r="OGV481" s="13"/>
      <c r="OGW481" s="13"/>
      <c r="OGX481" s="13"/>
      <c r="OGY481" s="13"/>
      <c r="OGZ481" s="13"/>
      <c r="OHA481" s="13"/>
      <c r="OHB481" s="13"/>
      <c r="OHC481" s="13"/>
      <c r="OHD481" s="13"/>
      <c r="OHE481" s="13"/>
      <c r="OHF481" s="13"/>
      <c r="OHG481" s="13"/>
      <c r="OHH481" s="13"/>
      <c r="OHI481" s="13"/>
      <c r="OHJ481" s="13"/>
      <c r="OHK481" s="13"/>
      <c r="OHL481" s="13"/>
      <c r="OHM481" s="13"/>
      <c r="OHN481" s="13"/>
      <c r="OHO481" s="13"/>
      <c r="OHP481" s="13"/>
      <c r="OHQ481" s="13"/>
      <c r="OHR481" s="13"/>
      <c r="OHS481" s="13"/>
      <c r="OHT481" s="13"/>
      <c r="OHU481" s="13"/>
      <c r="OHV481" s="13"/>
      <c r="OHW481" s="13"/>
      <c r="OHX481" s="13"/>
      <c r="OHY481" s="13"/>
      <c r="OHZ481" s="13"/>
      <c r="OIA481" s="13"/>
      <c r="OIB481" s="13"/>
      <c r="OIC481" s="13"/>
      <c r="OID481" s="13"/>
      <c r="OIE481" s="13"/>
      <c r="OIF481" s="13"/>
      <c r="OIG481" s="13"/>
      <c r="OIH481" s="13"/>
      <c r="OII481" s="13"/>
      <c r="OIJ481" s="13"/>
      <c r="OIK481" s="13"/>
      <c r="OIL481" s="13"/>
      <c r="OIM481" s="13"/>
      <c r="OIN481" s="13"/>
      <c r="OIO481" s="13"/>
      <c r="OIP481" s="13"/>
      <c r="OIQ481" s="13"/>
      <c r="OIR481" s="13"/>
      <c r="OIS481" s="13"/>
      <c r="OIT481" s="13"/>
      <c r="OIU481" s="13"/>
      <c r="OIV481" s="13"/>
      <c r="OIW481" s="13"/>
      <c r="OIX481" s="13"/>
      <c r="OIY481" s="13"/>
      <c r="OIZ481" s="13"/>
      <c r="OJA481" s="13"/>
      <c r="OJB481" s="13"/>
      <c r="OJC481" s="13"/>
      <c r="OJD481" s="13"/>
      <c r="OJE481" s="13"/>
      <c r="OJF481" s="13"/>
      <c r="OJG481" s="13"/>
      <c r="OJH481" s="13"/>
      <c r="OJI481" s="13"/>
      <c r="OJJ481" s="13"/>
      <c r="OJK481" s="13"/>
      <c r="OJL481" s="13"/>
      <c r="OJM481" s="13"/>
      <c r="OJN481" s="13"/>
      <c r="OJO481" s="13"/>
      <c r="OJP481" s="13"/>
      <c r="OJQ481" s="13"/>
      <c r="OJR481" s="13"/>
      <c r="OJS481" s="13"/>
      <c r="OJT481" s="13"/>
      <c r="OJU481" s="13"/>
      <c r="OJV481" s="13"/>
      <c r="OJW481" s="13"/>
      <c r="OJX481" s="13"/>
      <c r="OJY481" s="13"/>
      <c r="OJZ481" s="13"/>
      <c r="OKA481" s="13"/>
      <c r="OKB481" s="13"/>
      <c r="OKC481" s="13"/>
      <c r="OKD481" s="13"/>
      <c r="OKE481" s="13"/>
      <c r="OKF481" s="13"/>
      <c r="OKG481" s="13"/>
      <c r="OKH481" s="13"/>
      <c r="OKI481" s="13"/>
      <c r="OKJ481" s="13"/>
      <c r="OKK481" s="13"/>
      <c r="OKL481" s="13"/>
      <c r="OKM481" s="13"/>
      <c r="OKN481" s="13"/>
      <c r="OKO481" s="13"/>
      <c r="OKP481" s="13"/>
      <c r="OKQ481" s="13"/>
      <c r="OKR481" s="13"/>
      <c r="OKS481" s="13"/>
      <c r="OKT481" s="13"/>
      <c r="OKU481" s="13"/>
      <c r="OKV481" s="13"/>
      <c r="OKW481" s="13"/>
      <c r="OKX481" s="13"/>
      <c r="OKY481" s="13"/>
      <c r="OKZ481" s="13"/>
      <c r="OLA481" s="13"/>
      <c r="OLB481" s="13"/>
      <c r="OLC481" s="13"/>
      <c r="OLD481" s="13"/>
      <c r="OLE481" s="13"/>
      <c r="OLF481" s="13"/>
      <c r="OLG481" s="13"/>
      <c r="OLH481" s="13"/>
      <c r="OLI481" s="13"/>
      <c r="OLJ481" s="13"/>
      <c r="OLK481" s="13"/>
      <c r="OLL481" s="13"/>
      <c r="OLM481" s="13"/>
      <c r="OLN481" s="13"/>
      <c r="OLO481" s="13"/>
      <c r="OLP481" s="13"/>
      <c r="OLQ481" s="13"/>
      <c r="OLR481" s="13"/>
      <c r="OLS481" s="13"/>
      <c r="OLT481" s="13"/>
      <c r="OLU481" s="13"/>
      <c r="OLV481" s="13"/>
      <c r="OLW481" s="13"/>
      <c r="OLX481" s="13"/>
      <c r="OLY481" s="13"/>
      <c r="OLZ481" s="13"/>
      <c r="OMA481" s="13"/>
      <c r="OMB481" s="13"/>
      <c r="OMC481" s="13"/>
      <c r="OMD481" s="13"/>
      <c r="OME481" s="13"/>
      <c r="OMF481" s="13"/>
      <c r="OMG481" s="13"/>
      <c r="OMH481" s="13"/>
      <c r="OMI481" s="13"/>
      <c r="OMJ481" s="13"/>
      <c r="OMK481" s="13"/>
      <c r="OML481" s="13"/>
      <c r="OMM481" s="13"/>
      <c r="OMN481" s="13"/>
      <c r="OMO481" s="13"/>
      <c r="OMP481" s="13"/>
      <c r="OMQ481" s="13"/>
      <c r="OMR481" s="13"/>
      <c r="OMS481" s="13"/>
      <c r="OMT481" s="13"/>
      <c r="OMU481" s="13"/>
      <c r="OMV481" s="13"/>
      <c r="OMW481" s="13"/>
      <c r="OMX481" s="13"/>
      <c r="OMY481" s="13"/>
      <c r="OMZ481" s="13"/>
      <c r="ONA481" s="13"/>
      <c r="ONB481" s="13"/>
      <c r="ONC481" s="13"/>
      <c r="OND481" s="13"/>
      <c r="ONE481" s="13"/>
      <c r="ONF481" s="13"/>
      <c r="ONG481" s="13"/>
      <c r="ONH481" s="13"/>
      <c r="ONI481" s="13"/>
      <c r="ONJ481" s="13"/>
      <c r="ONK481" s="13"/>
      <c r="ONL481" s="13"/>
      <c r="ONM481" s="13"/>
      <c r="ONN481" s="13"/>
      <c r="ONO481" s="13"/>
      <c r="ONP481" s="13"/>
      <c r="ONQ481" s="13"/>
      <c r="ONR481" s="13"/>
      <c r="ONS481" s="13"/>
      <c r="ONT481" s="13"/>
      <c r="ONU481" s="13"/>
      <c r="ONV481" s="13"/>
      <c r="ONW481" s="13"/>
      <c r="ONX481" s="13"/>
      <c r="ONY481" s="13"/>
      <c r="ONZ481" s="13"/>
      <c r="OOA481" s="13"/>
      <c r="OOB481" s="13"/>
      <c r="OOC481" s="13"/>
      <c r="OOD481" s="13"/>
      <c r="OOE481" s="13"/>
      <c r="OOF481" s="13"/>
      <c r="OOG481" s="13"/>
      <c r="OOH481" s="13"/>
      <c r="OOI481" s="13"/>
      <c r="OOJ481" s="13"/>
      <c r="OOK481" s="13"/>
      <c r="OOL481" s="13"/>
      <c r="OOM481" s="13"/>
      <c r="OON481" s="13"/>
      <c r="OOO481" s="13"/>
      <c r="OOP481" s="13"/>
      <c r="OOQ481" s="13"/>
      <c r="OOR481" s="13"/>
      <c r="OOS481" s="13"/>
      <c r="OOT481" s="13"/>
      <c r="OOU481" s="13"/>
      <c r="OOV481" s="13"/>
      <c r="OOW481" s="13"/>
      <c r="OOX481" s="13"/>
      <c r="OOY481" s="13"/>
      <c r="OOZ481" s="13"/>
      <c r="OPA481" s="13"/>
      <c r="OPB481" s="13"/>
      <c r="OPC481" s="13"/>
      <c r="OPD481" s="13"/>
      <c r="OPE481" s="13"/>
      <c r="OPF481" s="13"/>
      <c r="OPG481" s="13"/>
      <c r="OPH481" s="13"/>
      <c r="OPI481" s="13"/>
      <c r="OPJ481" s="13"/>
      <c r="OPK481" s="13"/>
      <c r="OPL481" s="13"/>
      <c r="OPM481" s="13"/>
      <c r="OPN481" s="13"/>
      <c r="OPO481" s="13"/>
      <c r="OPP481" s="13"/>
      <c r="OPQ481" s="13"/>
      <c r="OPR481" s="13"/>
      <c r="OPS481" s="13"/>
      <c r="OPT481" s="13"/>
      <c r="OPU481" s="13"/>
      <c r="OPV481" s="13"/>
      <c r="OPW481" s="13"/>
      <c r="OPX481" s="13"/>
      <c r="OPY481" s="13"/>
      <c r="OPZ481" s="13"/>
      <c r="OQA481" s="13"/>
      <c r="OQB481" s="13"/>
      <c r="OQC481" s="13"/>
      <c r="OQD481" s="13"/>
      <c r="OQE481" s="13"/>
      <c r="OQF481" s="13"/>
      <c r="OQG481" s="13"/>
      <c r="OQH481" s="13"/>
      <c r="OQI481" s="13"/>
      <c r="OQJ481" s="13"/>
      <c r="OQK481" s="13"/>
      <c r="OQL481" s="13"/>
      <c r="OQM481" s="13"/>
      <c r="OQN481" s="13"/>
      <c r="OQO481" s="13"/>
      <c r="OQP481" s="13"/>
      <c r="OQQ481" s="13"/>
      <c r="OQR481" s="13"/>
      <c r="OQS481" s="13"/>
      <c r="OQT481" s="13"/>
      <c r="OQU481" s="13"/>
      <c r="OQV481" s="13"/>
      <c r="OQW481" s="13"/>
      <c r="OQX481" s="13"/>
      <c r="OQY481" s="13"/>
      <c r="OQZ481" s="13"/>
      <c r="ORA481" s="13"/>
      <c r="ORB481" s="13"/>
      <c r="ORC481" s="13"/>
      <c r="ORD481" s="13"/>
      <c r="ORE481" s="13"/>
      <c r="ORF481" s="13"/>
      <c r="ORG481" s="13"/>
      <c r="ORH481" s="13"/>
      <c r="ORI481" s="13"/>
      <c r="ORJ481" s="13"/>
      <c r="ORK481" s="13"/>
      <c r="ORL481" s="13"/>
      <c r="ORM481" s="13"/>
      <c r="ORN481" s="13"/>
      <c r="ORO481" s="13"/>
      <c r="ORP481" s="13"/>
      <c r="ORQ481" s="13"/>
      <c r="ORR481" s="13"/>
      <c r="ORS481" s="13"/>
      <c r="ORT481" s="13"/>
      <c r="ORU481" s="13"/>
      <c r="ORV481" s="13"/>
      <c r="ORW481" s="13"/>
      <c r="ORX481" s="13"/>
      <c r="ORY481" s="13"/>
      <c r="ORZ481" s="13"/>
      <c r="OSA481" s="13"/>
      <c r="OSB481" s="13"/>
      <c r="OSC481" s="13"/>
      <c r="OSD481" s="13"/>
      <c r="OSE481" s="13"/>
      <c r="OSF481" s="13"/>
      <c r="OSG481" s="13"/>
      <c r="OSH481" s="13"/>
      <c r="OSI481" s="13"/>
      <c r="OSJ481" s="13"/>
      <c r="OSK481" s="13"/>
      <c r="OSL481" s="13"/>
      <c r="OSM481" s="13"/>
      <c r="OSN481" s="13"/>
      <c r="OSO481" s="13"/>
      <c r="OSP481" s="13"/>
      <c r="OSQ481" s="13"/>
      <c r="OSR481" s="13"/>
      <c r="OSS481" s="13"/>
      <c r="OST481" s="13"/>
      <c r="OSU481" s="13"/>
      <c r="OSV481" s="13"/>
      <c r="OSW481" s="13"/>
      <c r="OSX481" s="13"/>
      <c r="OSY481" s="13"/>
      <c r="OSZ481" s="13"/>
      <c r="OTA481" s="13"/>
      <c r="OTB481" s="13"/>
      <c r="OTC481" s="13"/>
      <c r="OTD481" s="13"/>
      <c r="OTE481" s="13"/>
      <c r="OTF481" s="13"/>
      <c r="OTG481" s="13"/>
      <c r="OTH481" s="13"/>
      <c r="OTI481" s="13"/>
      <c r="OTJ481" s="13"/>
      <c r="OTK481" s="13"/>
      <c r="OTL481" s="13"/>
      <c r="OTM481" s="13"/>
      <c r="OTN481" s="13"/>
      <c r="OTO481" s="13"/>
      <c r="OTP481" s="13"/>
      <c r="OTQ481" s="13"/>
      <c r="OTR481" s="13"/>
      <c r="OTS481" s="13"/>
      <c r="OTT481" s="13"/>
      <c r="OTU481" s="13"/>
      <c r="OTV481" s="13"/>
      <c r="OTW481" s="13"/>
      <c r="OTX481" s="13"/>
      <c r="OTY481" s="13"/>
      <c r="OTZ481" s="13"/>
      <c r="OUA481" s="13"/>
      <c r="OUB481" s="13"/>
      <c r="OUC481" s="13"/>
      <c r="OUD481" s="13"/>
      <c r="OUE481" s="13"/>
      <c r="OUF481" s="13"/>
      <c r="OUG481" s="13"/>
      <c r="OUH481" s="13"/>
      <c r="OUI481" s="13"/>
      <c r="OUJ481" s="13"/>
      <c r="OUK481" s="13"/>
      <c r="OUL481" s="13"/>
      <c r="OUM481" s="13"/>
      <c r="OUN481" s="13"/>
      <c r="OUO481" s="13"/>
      <c r="OUP481" s="13"/>
      <c r="OUQ481" s="13"/>
      <c r="OUR481" s="13"/>
      <c r="OUS481" s="13"/>
      <c r="OUT481" s="13"/>
      <c r="OUU481" s="13"/>
      <c r="OUV481" s="13"/>
      <c r="OUW481" s="13"/>
      <c r="OUX481" s="13"/>
      <c r="OUY481" s="13"/>
      <c r="OUZ481" s="13"/>
      <c r="OVA481" s="13"/>
      <c r="OVB481" s="13"/>
      <c r="OVC481" s="13"/>
      <c r="OVD481" s="13"/>
      <c r="OVE481" s="13"/>
      <c r="OVF481" s="13"/>
      <c r="OVG481" s="13"/>
      <c r="OVH481" s="13"/>
      <c r="OVI481" s="13"/>
      <c r="OVJ481" s="13"/>
      <c r="OVK481" s="13"/>
      <c r="OVL481" s="13"/>
      <c r="OVM481" s="13"/>
      <c r="OVN481" s="13"/>
      <c r="OVO481" s="13"/>
      <c r="OVP481" s="13"/>
      <c r="OVQ481" s="13"/>
      <c r="OVR481" s="13"/>
      <c r="OVS481" s="13"/>
      <c r="OVT481" s="13"/>
      <c r="OVU481" s="13"/>
      <c r="OVV481" s="13"/>
      <c r="OVW481" s="13"/>
      <c r="OVX481" s="13"/>
      <c r="OVY481" s="13"/>
      <c r="OVZ481" s="13"/>
      <c r="OWA481" s="13"/>
      <c r="OWB481" s="13"/>
      <c r="OWC481" s="13"/>
      <c r="OWD481" s="13"/>
      <c r="OWE481" s="13"/>
      <c r="OWF481" s="13"/>
      <c r="OWG481" s="13"/>
      <c r="OWH481" s="13"/>
      <c r="OWI481" s="13"/>
      <c r="OWJ481" s="13"/>
      <c r="OWK481" s="13"/>
      <c r="OWL481" s="13"/>
      <c r="OWM481" s="13"/>
      <c r="OWN481" s="13"/>
      <c r="OWO481" s="13"/>
      <c r="OWP481" s="13"/>
      <c r="OWQ481" s="13"/>
      <c r="OWR481" s="13"/>
      <c r="OWS481" s="13"/>
      <c r="OWT481" s="13"/>
      <c r="OWU481" s="13"/>
      <c r="OWV481" s="13"/>
      <c r="OWW481" s="13"/>
      <c r="OWX481" s="13"/>
      <c r="OWY481" s="13"/>
      <c r="OWZ481" s="13"/>
      <c r="OXA481" s="13"/>
      <c r="OXB481" s="13"/>
      <c r="OXC481" s="13"/>
      <c r="OXD481" s="13"/>
      <c r="OXE481" s="13"/>
      <c r="OXF481" s="13"/>
      <c r="OXG481" s="13"/>
      <c r="OXH481" s="13"/>
      <c r="OXI481" s="13"/>
      <c r="OXJ481" s="13"/>
      <c r="OXK481" s="13"/>
      <c r="OXL481" s="13"/>
      <c r="OXM481" s="13"/>
      <c r="OXN481" s="13"/>
      <c r="OXO481" s="13"/>
      <c r="OXP481" s="13"/>
      <c r="OXQ481" s="13"/>
      <c r="OXR481" s="13"/>
      <c r="OXS481" s="13"/>
      <c r="OXT481" s="13"/>
      <c r="OXU481" s="13"/>
      <c r="OXV481" s="13"/>
      <c r="OXW481" s="13"/>
      <c r="OXX481" s="13"/>
      <c r="OXY481" s="13"/>
      <c r="OXZ481" s="13"/>
      <c r="OYA481" s="13"/>
      <c r="OYB481" s="13"/>
      <c r="OYC481" s="13"/>
      <c r="OYD481" s="13"/>
      <c r="OYE481" s="13"/>
      <c r="OYF481" s="13"/>
      <c r="OYG481" s="13"/>
      <c r="OYH481" s="13"/>
      <c r="OYI481" s="13"/>
      <c r="OYJ481" s="13"/>
      <c r="OYK481" s="13"/>
      <c r="OYL481" s="13"/>
      <c r="OYM481" s="13"/>
      <c r="OYN481" s="13"/>
      <c r="OYO481" s="13"/>
      <c r="OYP481" s="13"/>
      <c r="OYQ481" s="13"/>
      <c r="OYR481" s="13"/>
      <c r="OYS481" s="13"/>
      <c r="OYT481" s="13"/>
      <c r="OYU481" s="13"/>
      <c r="OYV481" s="13"/>
      <c r="OYW481" s="13"/>
      <c r="OYX481" s="13"/>
      <c r="OYY481" s="13"/>
      <c r="OYZ481" s="13"/>
      <c r="OZA481" s="13"/>
      <c r="OZB481" s="13"/>
      <c r="OZC481" s="13"/>
      <c r="OZD481" s="13"/>
      <c r="OZE481" s="13"/>
      <c r="OZF481" s="13"/>
      <c r="OZG481" s="13"/>
      <c r="OZH481" s="13"/>
      <c r="OZI481" s="13"/>
      <c r="OZJ481" s="13"/>
      <c r="OZK481" s="13"/>
      <c r="OZL481" s="13"/>
      <c r="OZM481" s="13"/>
      <c r="OZN481" s="13"/>
      <c r="OZO481" s="13"/>
      <c r="OZP481" s="13"/>
      <c r="OZQ481" s="13"/>
      <c r="OZR481" s="13"/>
      <c r="OZS481" s="13"/>
      <c r="OZT481" s="13"/>
      <c r="OZU481" s="13"/>
      <c r="OZV481" s="13"/>
      <c r="OZW481" s="13"/>
      <c r="OZX481" s="13"/>
      <c r="OZY481" s="13"/>
      <c r="OZZ481" s="13"/>
      <c r="PAA481" s="13"/>
      <c r="PAB481" s="13"/>
      <c r="PAC481" s="13"/>
      <c r="PAD481" s="13"/>
      <c r="PAE481" s="13"/>
      <c r="PAF481" s="13"/>
      <c r="PAG481" s="13"/>
      <c r="PAH481" s="13"/>
      <c r="PAI481" s="13"/>
      <c r="PAJ481" s="13"/>
      <c r="PAK481" s="13"/>
      <c r="PAL481" s="13"/>
      <c r="PAM481" s="13"/>
      <c r="PAN481" s="13"/>
      <c r="PAO481" s="13"/>
      <c r="PAP481" s="13"/>
      <c r="PAQ481" s="13"/>
      <c r="PAR481" s="13"/>
      <c r="PAS481" s="13"/>
      <c r="PAT481" s="13"/>
      <c r="PAU481" s="13"/>
      <c r="PAV481" s="13"/>
      <c r="PAW481" s="13"/>
      <c r="PAX481" s="13"/>
      <c r="PAY481" s="13"/>
      <c r="PAZ481" s="13"/>
      <c r="PBA481" s="13"/>
      <c r="PBB481" s="13"/>
      <c r="PBC481" s="13"/>
      <c r="PBD481" s="13"/>
      <c r="PBE481" s="13"/>
      <c r="PBF481" s="13"/>
      <c r="PBG481" s="13"/>
      <c r="PBH481" s="13"/>
      <c r="PBI481" s="13"/>
      <c r="PBJ481" s="13"/>
      <c r="PBK481" s="13"/>
      <c r="PBL481" s="13"/>
      <c r="PBM481" s="13"/>
      <c r="PBN481" s="13"/>
      <c r="PBO481" s="13"/>
      <c r="PBP481" s="13"/>
      <c r="PBQ481" s="13"/>
      <c r="PBR481" s="13"/>
      <c r="PBS481" s="13"/>
      <c r="PBT481" s="13"/>
      <c r="PBU481" s="13"/>
      <c r="PBV481" s="13"/>
      <c r="PBW481" s="13"/>
      <c r="PBX481" s="13"/>
      <c r="PBY481" s="13"/>
      <c r="PBZ481" s="13"/>
      <c r="PCA481" s="13"/>
      <c r="PCB481" s="13"/>
      <c r="PCC481" s="13"/>
      <c r="PCD481" s="13"/>
      <c r="PCE481" s="13"/>
      <c r="PCF481" s="13"/>
      <c r="PCG481" s="13"/>
      <c r="PCH481" s="13"/>
      <c r="PCI481" s="13"/>
      <c r="PCJ481" s="13"/>
      <c r="PCK481" s="13"/>
      <c r="PCL481" s="13"/>
      <c r="PCM481" s="13"/>
      <c r="PCN481" s="13"/>
      <c r="PCO481" s="13"/>
      <c r="PCP481" s="13"/>
      <c r="PCQ481" s="13"/>
      <c r="PCR481" s="13"/>
      <c r="PCS481" s="13"/>
      <c r="PCT481" s="13"/>
      <c r="PCU481" s="13"/>
      <c r="PCV481" s="13"/>
      <c r="PCW481" s="13"/>
      <c r="PCX481" s="13"/>
      <c r="PCY481" s="13"/>
      <c r="PCZ481" s="13"/>
      <c r="PDA481" s="13"/>
      <c r="PDB481" s="13"/>
      <c r="PDC481" s="13"/>
      <c r="PDD481" s="13"/>
      <c r="PDE481" s="13"/>
      <c r="PDF481" s="13"/>
      <c r="PDG481" s="13"/>
      <c r="PDH481" s="13"/>
      <c r="PDI481" s="13"/>
      <c r="PDJ481" s="13"/>
      <c r="PDK481" s="13"/>
      <c r="PDL481" s="13"/>
      <c r="PDM481" s="13"/>
      <c r="PDN481" s="13"/>
      <c r="PDO481" s="13"/>
      <c r="PDP481" s="13"/>
      <c r="PDQ481" s="13"/>
      <c r="PDR481" s="13"/>
      <c r="PDS481" s="13"/>
      <c r="PDT481" s="13"/>
      <c r="PDU481" s="13"/>
      <c r="PDV481" s="13"/>
      <c r="PDW481" s="13"/>
      <c r="PDX481" s="13"/>
      <c r="PDY481" s="13"/>
      <c r="PDZ481" s="13"/>
      <c r="PEA481" s="13"/>
      <c r="PEB481" s="13"/>
      <c r="PEC481" s="13"/>
      <c r="PED481" s="13"/>
      <c r="PEE481" s="13"/>
      <c r="PEF481" s="13"/>
      <c r="PEG481" s="13"/>
      <c r="PEH481" s="13"/>
      <c r="PEI481" s="13"/>
      <c r="PEJ481" s="13"/>
      <c r="PEK481" s="13"/>
      <c r="PEL481" s="13"/>
      <c r="PEM481" s="13"/>
      <c r="PEN481" s="13"/>
      <c r="PEO481" s="13"/>
      <c r="PEP481" s="13"/>
      <c r="PEQ481" s="13"/>
      <c r="PER481" s="13"/>
      <c r="PES481" s="13"/>
      <c r="PET481" s="13"/>
      <c r="PEU481" s="13"/>
      <c r="PEV481" s="13"/>
      <c r="PEW481" s="13"/>
      <c r="PEX481" s="13"/>
      <c r="PEY481" s="13"/>
      <c r="PEZ481" s="13"/>
      <c r="PFA481" s="13"/>
      <c r="PFB481" s="13"/>
      <c r="PFC481" s="13"/>
      <c r="PFD481" s="13"/>
      <c r="PFE481" s="13"/>
      <c r="PFF481" s="13"/>
      <c r="PFG481" s="13"/>
      <c r="PFH481" s="13"/>
      <c r="PFI481" s="13"/>
      <c r="PFJ481" s="13"/>
      <c r="PFK481" s="13"/>
      <c r="PFL481" s="13"/>
      <c r="PFM481" s="13"/>
      <c r="PFN481" s="13"/>
      <c r="PFO481" s="13"/>
      <c r="PFP481" s="13"/>
      <c r="PFQ481" s="13"/>
      <c r="PFR481" s="13"/>
      <c r="PFS481" s="13"/>
      <c r="PFT481" s="13"/>
      <c r="PFU481" s="13"/>
      <c r="PFV481" s="13"/>
      <c r="PFW481" s="13"/>
      <c r="PFX481" s="13"/>
      <c r="PFY481" s="13"/>
      <c r="PFZ481" s="13"/>
      <c r="PGA481" s="13"/>
      <c r="PGB481" s="13"/>
      <c r="PGC481" s="13"/>
      <c r="PGD481" s="13"/>
      <c r="PGE481" s="13"/>
      <c r="PGF481" s="13"/>
      <c r="PGG481" s="13"/>
      <c r="PGH481" s="13"/>
      <c r="PGI481" s="13"/>
      <c r="PGJ481" s="13"/>
      <c r="PGK481" s="13"/>
      <c r="PGL481" s="13"/>
      <c r="PGM481" s="13"/>
      <c r="PGN481" s="13"/>
      <c r="PGO481" s="13"/>
      <c r="PGP481" s="13"/>
      <c r="PGQ481" s="13"/>
      <c r="PGR481" s="13"/>
      <c r="PGS481" s="13"/>
      <c r="PGT481" s="13"/>
      <c r="PGU481" s="13"/>
      <c r="PGV481" s="13"/>
      <c r="PGW481" s="13"/>
      <c r="PGX481" s="13"/>
      <c r="PGY481" s="13"/>
      <c r="PGZ481" s="13"/>
      <c r="PHA481" s="13"/>
      <c r="PHB481" s="13"/>
      <c r="PHC481" s="13"/>
      <c r="PHD481" s="13"/>
      <c r="PHE481" s="13"/>
      <c r="PHF481" s="13"/>
      <c r="PHG481" s="13"/>
      <c r="PHH481" s="13"/>
      <c r="PHI481" s="13"/>
      <c r="PHJ481" s="13"/>
      <c r="PHK481" s="13"/>
      <c r="PHL481" s="13"/>
      <c r="PHM481" s="13"/>
      <c r="PHN481" s="13"/>
      <c r="PHO481" s="13"/>
      <c r="PHP481" s="13"/>
      <c r="PHQ481" s="13"/>
      <c r="PHR481" s="13"/>
      <c r="PHS481" s="13"/>
      <c r="PHT481" s="13"/>
      <c r="PHU481" s="13"/>
      <c r="PHV481" s="13"/>
      <c r="PHW481" s="13"/>
      <c r="PHX481" s="13"/>
      <c r="PHY481" s="13"/>
      <c r="PHZ481" s="13"/>
      <c r="PIA481" s="13"/>
      <c r="PIB481" s="13"/>
      <c r="PIC481" s="13"/>
      <c r="PID481" s="13"/>
      <c r="PIE481" s="13"/>
      <c r="PIF481" s="13"/>
      <c r="PIG481" s="13"/>
      <c r="PIH481" s="13"/>
      <c r="PII481" s="13"/>
      <c r="PIJ481" s="13"/>
      <c r="PIK481" s="13"/>
      <c r="PIL481" s="13"/>
      <c r="PIM481" s="13"/>
      <c r="PIN481" s="13"/>
      <c r="PIO481" s="13"/>
      <c r="PIP481" s="13"/>
      <c r="PIQ481" s="13"/>
      <c r="PIR481" s="13"/>
      <c r="PIS481" s="13"/>
      <c r="PIT481" s="13"/>
      <c r="PIU481" s="13"/>
      <c r="PIV481" s="13"/>
      <c r="PIW481" s="13"/>
      <c r="PIX481" s="13"/>
      <c r="PIY481" s="13"/>
      <c r="PIZ481" s="13"/>
      <c r="PJA481" s="13"/>
      <c r="PJB481" s="13"/>
      <c r="PJC481" s="13"/>
      <c r="PJD481" s="13"/>
      <c r="PJE481" s="13"/>
      <c r="PJF481" s="13"/>
      <c r="PJG481" s="13"/>
      <c r="PJH481" s="13"/>
      <c r="PJI481" s="13"/>
      <c r="PJJ481" s="13"/>
      <c r="PJK481" s="13"/>
      <c r="PJL481" s="13"/>
      <c r="PJM481" s="13"/>
      <c r="PJN481" s="13"/>
      <c r="PJO481" s="13"/>
      <c r="PJP481" s="13"/>
      <c r="PJQ481" s="13"/>
      <c r="PJR481" s="13"/>
      <c r="PJS481" s="13"/>
      <c r="PJT481" s="13"/>
      <c r="PJU481" s="13"/>
      <c r="PJV481" s="13"/>
      <c r="PJW481" s="13"/>
      <c r="PJX481" s="13"/>
      <c r="PJY481" s="13"/>
      <c r="PJZ481" s="13"/>
      <c r="PKA481" s="13"/>
      <c r="PKB481" s="13"/>
      <c r="PKC481" s="13"/>
      <c r="PKD481" s="13"/>
      <c r="PKE481" s="13"/>
      <c r="PKF481" s="13"/>
      <c r="PKG481" s="13"/>
      <c r="PKH481" s="13"/>
      <c r="PKI481" s="13"/>
      <c r="PKJ481" s="13"/>
      <c r="PKK481" s="13"/>
      <c r="PKL481" s="13"/>
      <c r="PKM481" s="13"/>
      <c r="PKN481" s="13"/>
      <c r="PKO481" s="13"/>
      <c r="PKP481" s="13"/>
      <c r="PKQ481" s="13"/>
      <c r="PKR481" s="13"/>
      <c r="PKS481" s="13"/>
      <c r="PKT481" s="13"/>
      <c r="PKU481" s="13"/>
      <c r="PKV481" s="13"/>
      <c r="PKW481" s="13"/>
      <c r="PKX481" s="13"/>
      <c r="PKY481" s="13"/>
      <c r="PKZ481" s="13"/>
      <c r="PLA481" s="13"/>
      <c r="PLB481" s="13"/>
      <c r="PLC481" s="13"/>
      <c r="PLD481" s="13"/>
      <c r="PLE481" s="13"/>
      <c r="PLF481" s="13"/>
      <c r="PLG481" s="13"/>
      <c r="PLH481" s="13"/>
      <c r="PLI481" s="13"/>
      <c r="PLJ481" s="13"/>
      <c r="PLK481" s="13"/>
      <c r="PLL481" s="13"/>
      <c r="PLM481" s="13"/>
      <c r="PLN481" s="13"/>
      <c r="PLO481" s="13"/>
      <c r="PLP481" s="13"/>
      <c r="PLQ481" s="13"/>
      <c r="PLR481" s="13"/>
      <c r="PLS481" s="13"/>
      <c r="PLT481" s="13"/>
      <c r="PLU481" s="13"/>
      <c r="PLV481" s="13"/>
      <c r="PLW481" s="13"/>
      <c r="PLX481" s="13"/>
      <c r="PLY481" s="13"/>
      <c r="PLZ481" s="13"/>
      <c r="PMA481" s="13"/>
      <c r="PMB481" s="13"/>
      <c r="PMC481" s="13"/>
      <c r="PMD481" s="13"/>
      <c r="PME481" s="13"/>
      <c r="PMF481" s="13"/>
      <c r="PMG481" s="13"/>
      <c r="PMH481" s="13"/>
      <c r="PMI481" s="13"/>
      <c r="PMJ481" s="13"/>
      <c r="PMK481" s="13"/>
      <c r="PML481" s="13"/>
      <c r="PMM481" s="13"/>
      <c r="PMN481" s="13"/>
      <c r="PMO481" s="13"/>
      <c r="PMP481" s="13"/>
      <c r="PMQ481" s="13"/>
      <c r="PMR481" s="13"/>
      <c r="PMS481" s="13"/>
      <c r="PMT481" s="13"/>
      <c r="PMU481" s="13"/>
      <c r="PMV481" s="13"/>
      <c r="PMW481" s="13"/>
      <c r="PMX481" s="13"/>
      <c r="PMY481" s="13"/>
      <c r="PMZ481" s="13"/>
      <c r="PNA481" s="13"/>
      <c r="PNB481" s="13"/>
      <c r="PNC481" s="13"/>
      <c r="PND481" s="13"/>
      <c r="PNE481" s="13"/>
      <c r="PNF481" s="13"/>
      <c r="PNG481" s="13"/>
      <c r="PNH481" s="13"/>
      <c r="PNI481" s="13"/>
      <c r="PNJ481" s="13"/>
      <c r="PNK481" s="13"/>
      <c r="PNL481" s="13"/>
      <c r="PNM481" s="13"/>
      <c r="PNN481" s="13"/>
      <c r="PNO481" s="13"/>
      <c r="PNP481" s="13"/>
      <c r="PNQ481" s="13"/>
      <c r="PNR481" s="13"/>
      <c r="PNS481" s="13"/>
      <c r="PNT481" s="13"/>
      <c r="PNU481" s="13"/>
      <c r="PNV481" s="13"/>
      <c r="PNW481" s="13"/>
      <c r="PNX481" s="13"/>
      <c r="PNY481" s="13"/>
      <c r="PNZ481" s="13"/>
      <c r="POA481" s="13"/>
      <c r="POB481" s="13"/>
      <c r="POC481" s="13"/>
      <c r="POD481" s="13"/>
      <c r="POE481" s="13"/>
      <c r="POF481" s="13"/>
      <c r="POG481" s="13"/>
      <c r="POH481" s="13"/>
      <c r="POI481" s="13"/>
      <c r="POJ481" s="13"/>
      <c r="POK481" s="13"/>
      <c r="POL481" s="13"/>
      <c r="POM481" s="13"/>
      <c r="PON481" s="13"/>
      <c r="POO481" s="13"/>
      <c r="POP481" s="13"/>
      <c r="POQ481" s="13"/>
      <c r="POR481" s="13"/>
      <c r="POS481" s="13"/>
      <c r="POT481" s="13"/>
      <c r="POU481" s="13"/>
      <c r="POV481" s="13"/>
      <c r="POW481" s="13"/>
      <c r="POX481" s="13"/>
      <c r="POY481" s="13"/>
      <c r="POZ481" s="13"/>
      <c r="PPA481" s="13"/>
      <c r="PPB481" s="13"/>
      <c r="PPC481" s="13"/>
      <c r="PPD481" s="13"/>
      <c r="PPE481" s="13"/>
      <c r="PPF481" s="13"/>
      <c r="PPG481" s="13"/>
      <c r="PPH481" s="13"/>
      <c r="PPI481" s="13"/>
      <c r="PPJ481" s="13"/>
      <c r="PPK481" s="13"/>
      <c r="PPL481" s="13"/>
      <c r="PPM481" s="13"/>
      <c r="PPN481" s="13"/>
      <c r="PPO481" s="13"/>
      <c r="PPP481" s="13"/>
      <c r="PPQ481" s="13"/>
      <c r="PPR481" s="13"/>
      <c r="PPS481" s="13"/>
      <c r="PPT481" s="13"/>
      <c r="PPU481" s="13"/>
      <c r="PPV481" s="13"/>
      <c r="PPW481" s="13"/>
      <c r="PPX481" s="13"/>
      <c r="PPY481" s="13"/>
      <c r="PPZ481" s="13"/>
      <c r="PQA481" s="13"/>
      <c r="PQB481" s="13"/>
      <c r="PQC481" s="13"/>
      <c r="PQD481" s="13"/>
      <c r="PQE481" s="13"/>
      <c r="PQF481" s="13"/>
      <c r="PQG481" s="13"/>
      <c r="PQH481" s="13"/>
      <c r="PQI481" s="13"/>
      <c r="PQJ481" s="13"/>
      <c r="PQK481" s="13"/>
      <c r="PQL481" s="13"/>
      <c r="PQM481" s="13"/>
      <c r="PQN481" s="13"/>
      <c r="PQO481" s="13"/>
      <c r="PQP481" s="13"/>
      <c r="PQQ481" s="13"/>
      <c r="PQR481" s="13"/>
      <c r="PQS481" s="13"/>
      <c r="PQT481" s="13"/>
      <c r="PQU481" s="13"/>
      <c r="PQV481" s="13"/>
      <c r="PQW481" s="13"/>
      <c r="PQX481" s="13"/>
      <c r="PQY481" s="13"/>
      <c r="PQZ481" s="13"/>
      <c r="PRA481" s="13"/>
      <c r="PRB481" s="13"/>
      <c r="PRC481" s="13"/>
      <c r="PRD481" s="13"/>
      <c r="PRE481" s="13"/>
      <c r="PRF481" s="13"/>
      <c r="PRG481" s="13"/>
      <c r="PRH481" s="13"/>
      <c r="PRI481" s="13"/>
      <c r="PRJ481" s="13"/>
      <c r="PRK481" s="13"/>
      <c r="PRL481" s="13"/>
      <c r="PRM481" s="13"/>
      <c r="PRN481" s="13"/>
      <c r="PRO481" s="13"/>
      <c r="PRP481" s="13"/>
      <c r="PRQ481" s="13"/>
      <c r="PRR481" s="13"/>
      <c r="PRS481" s="13"/>
      <c r="PRT481" s="13"/>
      <c r="PRU481" s="13"/>
      <c r="PRV481" s="13"/>
      <c r="PRW481" s="13"/>
      <c r="PRX481" s="13"/>
      <c r="PRY481" s="13"/>
      <c r="PRZ481" s="13"/>
      <c r="PSA481" s="13"/>
      <c r="PSB481" s="13"/>
      <c r="PSC481" s="13"/>
      <c r="PSD481" s="13"/>
      <c r="PSE481" s="13"/>
      <c r="PSF481" s="13"/>
      <c r="PSG481" s="13"/>
      <c r="PSH481" s="13"/>
      <c r="PSI481" s="13"/>
      <c r="PSJ481" s="13"/>
      <c r="PSK481" s="13"/>
      <c r="PSL481" s="13"/>
      <c r="PSM481" s="13"/>
      <c r="PSN481" s="13"/>
      <c r="PSO481" s="13"/>
      <c r="PSP481" s="13"/>
      <c r="PSQ481" s="13"/>
      <c r="PSR481" s="13"/>
      <c r="PSS481" s="13"/>
      <c r="PST481" s="13"/>
      <c r="PSU481" s="13"/>
      <c r="PSV481" s="13"/>
      <c r="PSW481" s="13"/>
      <c r="PSX481" s="13"/>
      <c r="PSY481" s="13"/>
      <c r="PSZ481" s="13"/>
      <c r="PTA481" s="13"/>
      <c r="PTB481" s="13"/>
      <c r="PTC481" s="13"/>
      <c r="PTD481" s="13"/>
      <c r="PTE481" s="13"/>
      <c r="PTF481" s="13"/>
      <c r="PTG481" s="13"/>
      <c r="PTH481" s="13"/>
      <c r="PTI481" s="13"/>
      <c r="PTJ481" s="13"/>
      <c r="PTK481" s="13"/>
      <c r="PTL481" s="13"/>
      <c r="PTM481" s="13"/>
      <c r="PTN481" s="13"/>
      <c r="PTO481" s="13"/>
      <c r="PTP481" s="13"/>
      <c r="PTQ481" s="13"/>
      <c r="PTR481" s="13"/>
      <c r="PTS481" s="13"/>
      <c r="PTT481" s="13"/>
      <c r="PTU481" s="13"/>
      <c r="PTV481" s="13"/>
      <c r="PTW481" s="13"/>
      <c r="PTX481" s="13"/>
      <c r="PTY481" s="13"/>
      <c r="PTZ481" s="13"/>
      <c r="PUA481" s="13"/>
      <c r="PUB481" s="13"/>
      <c r="PUC481" s="13"/>
      <c r="PUD481" s="13"/>
      <c r="PUE481" s="13"/>
      <c r="PUF481" s="13"/>
      <c r="PUG481" s="13"/>
      <c r="PUH481" s="13"/>
      <c r="PUI481" s="13"/>
      <c r="PUJ481" s="13"/>
      <c r="PUK481" s="13"/>
      <c r="PUL481" s="13"/>
      <c r="PUM481" s="13"/>
      <c r="PUN481" s="13"/>
      <c r="PUO481" s="13"/>
      <c r="PUP481" s="13"/>
      <c r="PUQ481" s="13"/>
      <c r="PUR481" s="13"/>
      <c r="PUS481" s="13"/>
      <c r="PUT481" s="13"/>
      <c r="PUU481" s="13"/>
      <c r="PUV481" s="13"/>
      <c r="PUW481" s="13"/>
      <c r="PUX481" s="13"/>
      <c r="PUY481" s="13"/>
      <c r="PUZ481" s="13"/>
      <c r="PVA481" s="13"/>
      <c r="PVB481" s="13"/>
      <c r="PVC481" s="13"/>
      <c r="PVD481" s="13"/>
      <c r="PVE481" s="13"/>
      <c r="PVF481" s="13"/>
      <c r="PVG481" s="13"/>
      <c r="PVH481" s="13"/>
      <c r="PVI481" s="13"/>
      <c r="PVJ481" s="13"/>
      <c r="PVK481" s="13"/>
      <c r="PVL481" s="13"/>
      <c r="PVM481" s="13"/>
      <c r="PVN481" s="13"/>
      <c r="PVO481" s="13"/>
      <c r="PVP481" s="13"/>
      <c r="PVQ481" s="13"/>
      <c r="PVR481" s="13"/>
      <c r="PVS481" s="13"/>
      <c r="PVT481" s="13"/>
      <c r="PVU481" s="13"/>
      <c r="PVV481" s="13"/>
      <c r="PVW481" s="13"/>
      <c r="PVX481" s="13"/>
      <c r="PVY481" s="13"/>
      <c r="PVZ481" s="13"/>
      <c r="PWA481" s="13"/>
      <c r="PWB481" s="13"/>
      <c r="PWC481" s="13"/>
      <c r="PWD481" s="13"/>
      <c r="PWE481" s="13"/>
      <c r="PWF481" s="13"/>
      <c r="PWG481" s="13"/>
      <c r="PWH481" s="13"/>
      <c r="PWI481" s="13"/>
      <c r="PWJ481" s="13"/>
      <c r="PWK481" s="13"/>
      <c r="PWL481" s="13"/>
      <c r="PWM481" s="13"/>
      <c r="PWN481" s="13"/>
      <c r="PWO481" s="13"/>
      <c r="PWP481" s="13"/>
      <c r="PWQ481" s="13"/>
      <c r="PWR481" s="13"/>
      <c r="PWS481" s="13"/>
      <c r="PWT481" s="13"/>
      <c r="PWU481" s="13"/>
      <c r="PWV481" s="13"/>
      <c r="PWW481" s="13"/>
      <c r="PWX481" s="13"/>
      <c r="PWY481" s="13"/>
      <c r="PWZ481" s="13"/>
      <c r="PXA481" s="13"/>
      <c r="PXB481" s="13"/>
      <c r="PXC481" s="13"/>
      <c r="PXD481" s="13"/>
      <c r="PXE481" s="13"/>
      <c r="PXF481" s="13"/>
      <c r="PXG481" s="13"/>
      <c r="PXH481" s="13"/>
      <c r="PXI481" s="13"/>
      <c r="PXJ481" s="13"/>
      <c r="PXK481" s="13"/>
      <c r="PXL481" s="13"/>
      <c r="PXM481" s="13"/>
      <c r="PXN481" s="13"/>
      <c r="PXO481" s="13"/>
      <c r="PXP481" s="13"/>
      <c r="PXQ481" s="13"/>
      <c r="PXR481" s="13"/>
      <c r="PXS481" s="13"/>
      <c r="PXT481" s="13"/>
      <c r="PXU481" s="13"/>
      <c r="PXV481" s="13"/>
      <c r="PXW481" s="13"/>
      <c r="PXX481" s="13"/>
      <c r="PXY481" s="13"/>
      <c r="PXZ481" s="13"/>
      <c r="PYA481" s="13"/>
      <c r="PYB481" s="13"/>
      <c r="PYC481" s="13"/>
      <c r="PYD481" s="13"/>
      <c r="PYE481" s="13"/>
      <c r="PYF481" s="13"/>
      <c r="PYG481" s="13"/>
      <c r="PYH481" s="13"/>
      <c r="PYI481" s="13"/>
      <c r="PYJ481" s="13"/>
      <c r="PYK481" s="13"/>
      <c r="PYL481" s="13"/>
      <c r="PYM481" s="13"/>
      <c r="PYN481" s="13"/>
      <c r="PYO481" s="13"/>
      <c r="PYP481" s="13"/>
      <c r="PYQ481" s="13"/>
      <c r="PYR481" s="13"/>
      <c r="PYS481" s="13"/>
      <c r="PYT481" s="13"/>
      <c r="PYU481" s="13"/>
      <c r="PYV481" s="13"/>
      <c r="PYW481" s="13"/>
      <c r="PYX481" s="13"/>
      <c r="PYY481" s="13"/>
      <c r="PYZ481" s="13"/>
      <c r="PZA481" s="13"/>
      <c r="PZB481" s="13"/>
      <c r="PZC481" s="13"/>
      <c r="PZD481" s="13"/>
      <c r="PZE481" s="13"/>
      <c r="PZF481" s="13"/>
      <c r="PZG481" s="13"/>
      <c r="PZH481" s="13"/>
      <c r="PZI481" s="13"/>
      <c r="PZJ481" s="13"/>
      <c r="PZK481" s="13"/>
      <c r="PZL481" s="13"/>
      <c r="PZM481" s="13"/>
      <c r="PZN481" s="13"/>
      <c r="PZO481" s="13"/>
      <c r="PZP481" s="13"/>
      <c r="PZQ481" s="13"/>
      <c r="PZR481" s="13"/>
      <c r="PZS481" s="13"/>
      <c r="PZT481" s="13"/>
      <c r="PZU481" s="13"/>
      <c r="PZV481" s="13"/>
      <c r="PZW481" s="13"/>
      <c r="PZX481" s="13"/>
      <c r="PZY481" s="13"/>
      <c r="PZZ481" s="13"/>
      <c r="QAA481" s="13"/>
      <c r="QAB481" s="13"/>
      <c r="QAC481" s="13"/>
      <c r="QAD481" s="13"/>
      <c r="QAE481" s="13"/>
      <c r="QAF481" s="13"/>
      <c r="QAG481" s="13"/>
      <c r="QAH481" s="13"/>
      <c r="QAI481" s="13"/>
      <c r="QAJ481" s="13"/>
      <c r="QAK481" s="13"/>
      <c r="QAL481" s="13"/>
      <c r="QAM481" s="13"/>
      <c r="QAN481" s="13"/>
      <c r="QAO481" s="13"/>
      <c r="QAP481" s="13"/>
      <c r="QAQ481" s="13"/>
      <c r="QAR481" s="13"/>
      <c r="QAS481" s="13"/>
      <c r="QAT481" s="13"/>
      <c r="QAU481" s="13"/>
      <c r="QAV481" s="13"/>
      <c r="QAW481" s="13"/>
      <c r="QAX481" s="13"/>
      <c r="QAY481" s="13"/>
      <c r="QAZ481" s="13"/>
      <c r="QBA481" s="13"/>
      <c r="QBB481" s="13"/>
      <c r="QBC481" s="13"/>
      <c r="QBD481" s="13"/>
      <c r="QBE481" s="13"/>
      <c r="QBF481" s="13"/>
      <c r="QBG481" s="13"/>
      <c r="QBH481" s="13"/>
      <c r="QBI481" s="13"/>
      <c r="QBJ481" s="13"/>
      <c r="QBK481" s="13"/>
      <c r="QBL481" s="13"/>
      <c r="QBM481" s="13"/>
      <c r="QBN481" s="13"/>
      <c r="QBO481" s="13"/>
      <c r="QBP481" s="13"/>
      <c r="QBQ481" s="13"/>
      <c r="QBR481" s="13"/>
      <c r="QBS481" s="13"/>
      <c r="QBT481" s="13"/>
      <c r="QBU481" s="13"/>
      <c r="QBV481" s="13"/>
      <c r="QBW481" s="13"/>
      <c r="QBX481" s="13"/>
      <c r="QBY481" s="13"/>
      <c r="QBZ481" s="13"/>
      <c r="QCA481" s="13"/>
      <c r="QCB481" s="13"/>
      <c r="QCC481" s="13"/>
      <c r="QCD481" s="13"/>
      <c r="QCE481" s="13"/>
      <c r="QCF481" s="13"/>
      <c r="QCG481" s="13"/>
      <c r="QCH481" s="13"/>
      <c r="QCI481" s="13"/>
      <c r="QCJ481" s="13"/>
      <c r="QCK481" s="13"/>
      <c r="QCL481" s="13"/>
      <c r="QCM481" s="13"/>
      <c r="QCN481" s="13"/>
      <c r="QCO481" s="13"/>
      <c r="QCP481" s="13"/>
      <c r="QCQ481" s="13"/>
      <c r="QCR481" s="13"/>
      <c r="QCS481" s="13"/>
      <c r="QCT481" s="13"/>
      <c r="QCU481" s="13"/>
      <c r="QCV481" s="13"/>
      <c r="QCW481" s="13"/>
      <c r="QCX481" s="13"/>
      <c r="QCY481" s="13"/>
      <c r="QCZ481" s="13"/>
      <c r="QDA481" s="13"/>
      <c r="QDB481" s="13"/>
      <c r="QDC481" s="13"/>
      <c r="QDD481" s="13"/>
      <c r="QDE481" s="13"/>
      <c r="QDF481" s="13"/>
      <c r="QDG481" s="13"/>
      <c r="QDH481" s="13"/>
      <c r="QDI481" s="13"/>
      <c r="QDJ481" s="13"/>
      <c r="QDK481" s="13"/>
      <c r="QDL481" s="13"/>
      <c r="QDM481" s="13"/>
      <c r="QDN481" s="13"/>
      <c r="QDO481" s="13"/>
      <c r="QDP481" s="13"/>
      <c r="QDQ481" s="13"/>
      <c r="QDR481" s="13"/>
      <c r="QDS481" s="13"/>
      <c r="QDT481" s="13"/>
      <c r="QDU481" s="13"/>
      <c r="QDV481" s="13"/>
      <c r="QDW481" s="13"/>
      <c r="QDX481" s="13"/>
      <c r="QDY481" s="13"/>
      <c r="QDZ481" s="13"/>
      <c r="QEA481" s="13"/>
      <c r="QEB481" s="13"/>
      <c r="QEC481" s="13"/>
      <c r="QED481" s="13"/>
      <c r="QEE481" s="13"/>
      <c r="QEF481" s="13"/>
      <c r="QEG481" s="13"/>
      <c r="QEH481" s="13"/>
      <c r="QEI481" s="13"/>
      <c r="QEJ481" s="13"/>
      <c r="QEK481" s="13"/>
      <c r="QEL481" s="13"/>
      <c r="QEM481" s="13"/>
      <c r="QEN481" s="13"/>
      <c r="QEO481" s="13"/>
      <c r="QEP481" s="13"/>
      <c r="QEQ481" s="13"/>
      <c r="QER481" s="13"/>
      <c r="QES481" s="13"/>
      <c r="QET481" s="13"/>
      <c r="QEU481" s="13"/>
      <c r="QEV481" s="13"/>
      <c r="QEW481" s="13"/>
      <c r="QEX481" s="13"/>
      <c r="QEY481" s="13"/>
      <c r="QEZ481" s="13"/>
      <c r="QFA481" s="13"/>
      <c r="QFB481" s="13"/>
      <c r="QFC481" s="13"/>
      <c r="QFD481" s="13"/>
      <c r="QFE481" s="13"/>
      <c r="QFF481" s="13"/>
      <c r="QFG481" s="13"/>
      <c r="QFH481" s="13"/>
      <c r="QFI481" s="13"/>
      <c r="QFJ481" s="13"/>
      <c r="QFK481" s="13"/>
      <c r="QFL481" s="13"/>
      <c r="QFM481" s="13"/>
      <c r="QFN481" s="13"/>
      <c r="QFO481" s="13"/>
      <c r="QFP481" s="13"/>
      <c r="QFQ481" s="13"/>
      <c r="QFR481" s="13"/>
      <c r="QFS481" s="13"/>
      <c r="QFT481" s="13"/>
      <c r="QFU481" s="13"/>
      <c r="QFV481" s="13"/>
      <c r="QFW481" s="13"/>
      <c r="QFX481" s="13"/>
      <c r="QFY481" s="13"/>
      <c r="QFZ481" s="13"/>
      <c r="QGA481" s="13"/>
      <c r="QGB481" s="13"/>
      <c r="QGC481" s="13"/>
      <c r="QGD481" s="13"/>
      <c r="QGE481" s="13"/>
      <c r="QGF481" s="13"/>
      <c r="QGG481" s="13"/>
      <c r="QGH481" s="13"/>
      <c r="QGI481" s="13"/>
      <c r="QGJ481" s="13"/>
      <c r="QGK481" s="13"/>
      <c r="QGL481" s="13"/>
      <c r="QGM481" s="13"/>
      <c r="QGN481" s="13"/>
      <c r="QGO481" s="13"/>
      <c r="QGP481" s="13"/>
      <c r="QGQ481" s="13"/>
      <c r="QGR481" s="13"/>
      <c r="QGS481" s="13"/>
      <c r="QGT481" s="13"/>
      <c r="QGU481" s="13"/>
      <c r="QGV481" s="13"/>
      <c r="QGW481" s="13"/>
      <c r="QGX481" s="13"/>
      <c r="QGY481" s="13"/>
      <c r="QGZ481" s="13"/>
      <c r="QHA481" s="13"/>
      <c r="QHB481" s="13"/>
      <c r="QHC481" s="13"/>
      <c r="QHD481" s="13"/>
      <c r="QHE481" s="13"/>
      <c r="QHF481" s="13"/>
      <c r="QHG481" s="13"/>
      <c r="QHH481" s="13"/>
      <c r="QHI481" s="13"/>
      <c r="QHJ481" s="13"/>
      <c r="QHK481" s="13"/>
      <c r="QHL481" s="13"/>
      <c r="QHM481" s="13"/>
      <c r="QHN481" s="13"/>
      <c r="QHO481" s="13"/>
      <c r="QHP481" s="13"/>
      <c r="QHQ481" s="13"/>
      <c r="QHR481" s="13"/>
      <c r="QHS481" s="13"/>
      <c r="QHT481" s="13"/>
      <c r="QHU481" s="13"/>
      <c r="QHV481" s="13"/>
      <c r="QHW481" s="13"/>
      <c r="QHX481" s="13"/>
      <c r="QHY481" s="13"/>
      <c r="QHZ481" s="13"/>
      <c r="QIA481" s="13"/>
      <c r="QIB481" s="13"/>
      <c r="QIC481" s="13"/>
      <c r="QID481" s="13"/>
      <c r="QIE481" s="13"/>
      <c r="QIF481" s="13"/>
      <c r="QIG481" s="13"/>
      <c r="QIH481" s="13"/>
      <c r="QII481" s="13"/>
      <c r="QIJ481" s="13"/>
      <c r="QIK481" s="13"/>
      <c r="QIL481" s="13"/>
      <c r="QIM481" s="13"/>
      <c r="QIN481" s="13"/>
      <c r="QIO481" s="13"/>
      <c r="QIP481" s="13"/>
      <c r="QIQ481" s="13"/>
      <c r="QIR481" s="13"/>
      <c r="QIS481" s="13"/>
      <c r="QIT481" s="13"/>
      <c r="QIU481" s="13"/>
      <c r="QIV481" s="13"/>
      <c r="QIW481" s="13"/>
      <c r="QIX481" s="13"/>
      <c r="QIY481" s="13"/>
      <c r="QIZ481" s="13"/>
      <c r="QJA481" s="13"/>
      <c r="QJB481" s="13"/>
      <c r="QJC481" s="13"/>
      <c r="QJD481" s="13"/>
      <c r="QJE481" s="13"/>
      <c r="QJF481" s="13"/>
      <c r="QJG481" s="13"/>
      <c r="QJH481" s="13"/>
      <c r="QJI481" s="13"/>
      <c r="QJJ481" s="13"/>
      <c r="QJK481" s="13"/>
      <c r="QJL481" s="13"/>
      <c r="QJM481" s="13"/>
      <c r="QJN481" s="13"/>
      <c r="QJO481" s="13"/>
      <c r="QJP481" s="13"/>
      <c r="QJQ481" s="13"/>
      <c r="QJR481" s="13"/>
      <c r="QJS481" s="13"/>
      <c r="QJT481" s="13"/>
      <c r="QJU481" s="13"/>
      <c r="QJV481" s="13"/>
      <c r="QJW481" s="13"/>
      <c r="QJX481" s="13"/>
      <c r="QJY481" s="13"/>
      <c r="QJZ481" s="13"/>
      <c r="QKA481" s="13"/>
      <c r="QKB481" s="13"/>
      <c r="QKC481" s="13"/>
      <c r="QKD481" s="13"/>
      <c r="QKE481" s="13"/>
      <c r="QKF481" s="13"/>
      <c r="QKG481" s="13"/>
      <c r="QKH481" s="13"/>
      <c r="QKI481" s="13"/>
      <c r="QKJ481" s="13"/>
      <c r="QKK481" s="13"/>
      <c r="QKL481" s="13"/>
      <c r="QKM481" s="13"/>
      <c r="QKN481" s="13"/>
      <c r="QKO481" s="13"/>
      <c r="QKP481" s="13"/>
      <c r="QKQ481" s="13"/>
      <c r="QKR481" s="13"/>
      <c r="QKS481" s="13"/>
      <c r="QKT481" s="13"/>
      <c r="QKU481" s="13"/>
      <c r="QKV481" s="13"/>
      <c r="QKW481" s="13"/>
      <c r="QKX481" s="13"/>
      <c r="QKY481" s="13"/>
      <c r="QKZ481" s="13"/>
      <c r="QLA481" s="13"/>
      <c r="QLB481" s="13"/>
      <c r="QLC481" s="13"/>
      <c r="QLD481" s="13"/>
      <c r="QLE481" s="13"/>
      <c r="QLF481" s="13"/>
      <c r="QLG481" s="13"/>
      <c r="QLH481" s="13"/>
      <c r="QLI481" s="13"/>
      <c r="QLJ481" s="13"/>
      <c r="QLK481" s="13"/>
      <c r="QLL481" s="13"/>
      <c r="QLM481" s="13"/>
      <c r="QLN481" s="13"/>
      <c r="QLO481" s="13"/>
      <c r="QLP481" s="13"/>
      <c r="QLQ481" s="13"/>
      <c r="QLR481" s="13"/>
      <c r="QLS481" s="13"/>
      <c r="QLT481" s="13"/>
      <c r="QLU481" s="13"/>
      <c r="QLV481" s="13"/>
      <c r="QLW481" s="13"/>
      <c r="QLX481" s="13"/>
      <c r="QLY481" s="13"/>
      <c r="QLZ481" s="13"/>
      <c r="QMA481" s="13"/>
      <c r="QMB481" s="13"/>
      <c r="QMC481" s="13"/>
      <c r="QMD481" s="13"/>
      <c r="QME481" s="13"/>
      <c r="QMF481" s="13"/>
      <c r="QMG481" s="13"/>
      <c r="QMH481" s="13"/>
      <c r="QMI481" s="13"/>
      <c r="QMJ481" s="13"/>
      <c r="QMK481" s="13"/>
      <c r="QML481" s="13"/>
      <c r="QMM481" s="13"/>
      <c r="QMN481" s="13"/>
      <c r="QMO481" s="13"/>
      <c r="QMP481" s="13"/>
      <c r="QMQ481" s="13"/>
      <c r="QMR481" s="13"/>
      <c r="QMS481" s="13"/>
      <c r="QMT481" s="13"/>
      <c r="QMU481" s="13"/>
      <c r="QMV481" s="13"/>
      <c r="QMW481" s="13"/>
      <c r="QMX481" s="13"/>
      <c r="QMY481" s="13"/>
      <c r="QMZ481" s="13"/>
      <c r="QNA481" s="13"/>
      <c r="QNB481" s="13"/>
      <c r="QNC481" s="13"/>
      <c r="QND481" s="13"/>
      <c r="QNE481" s="13"/>
      <c r="QNF481" s="13"/>
      <c r="QNG481" s="13"/>
      <c r="QNH481" s="13"/>
      <c r="QNI481" s="13"/>
      <c r="QNJ481" s="13"/>
      <c r="QNK481" s="13"/>
      <c r="QNL481" s="13"/>
      <c r="QNM481" s="13"/>
      <c r="QNN481" s="13"/>
      <c r="QNO481" s="13"/>
      <c r="QNP481" s="13"/>
      <c r="QNQ481" s="13"/>
      <c r="QNR481" s="13"/>
      <c r="QNS481" s="13"/>
      <c r="QNT481" s="13"/>
      <c r="QNU481" s="13"/>
      <c r="QNV481" s="13"/>
      <c r="QNW481" s="13"/>
      <c r="QNX481" s="13"/>
      <c r="QNY481" s="13"/>
      <c r="QNZ481" s="13"/>
      <c r="QOA481" s="13"/>
      <c r="QOB481" s="13"/>
      <c r="QOC481" s="13"/>
      <c r="QOD481" s="13"/>
      <c r="QOE481" s="13"/>
      <c r="QOF481" s="13"/>
      <c r="QOG481" s="13"/>
      <c r="QOH481" s="13"/>
      <c r="QOI481" s="13"/>
      <c r="QOJ481" s="13"/>
      <c r="QOK481" s="13"/>
      <c r="QOL481" s="13"/>
      <c r="QOM481" s="13"/>
      <c r="QON481" s="13"/>
      <c r="QOO481" s="13"/>
      <c r="QOP481" s="13"/>
      <c r="QOQ481" s="13"/>
      <c r="QOR481" s="13"/>
      <c r="QOS481" s="13"/>
      <c r="QOT481" s="13"/>
      <c r="QOU481" s="13"/>
      <c r="QOV481" s="13"/>
      <c r="QOW481" s="13"/>
      <c r="QOX481" s="13"/>
      <c r="QOY481" s="13"/>
      <c r="QOZ481" s="13"/>
      <c r="QPA481" s="13"/>
      <c r="QPB481" s="13"/>
      <c r="QPC481" s="13"/>
      <c r="QPD481" s="13"/>
      <c r="QPE481" s="13"/>
      <c r="QPF481" s="13"/>
      <c r="QPG481" s="13"/>
      <c r="QPH481" s="13"/>
      <c r="QPI481" s="13"/>
      <c r="QPJ481" s="13"/>
      <c r="QPK481" s="13"/>
      <c r="QPL481" s="13"/>
      <c r="QPM481" s="13"/>
      <c r="QPN481" s="13"/>
      <c r="QPO481" s="13"/>
      <c r="QPP481" s="13"/>
      <c r="QPQ481" s="13"/>
      <c r="QPR481" s="13"/>
      <c r="QPS481" s="13"/>
      <c r="QPT481" s="13"/>
      <c r="QPU481" s="13"/>
      <c r="QPV481" s="13"/>
      <c r="QPW481" s="13"/>
      <c r="QPX481" s="13"/>
      <c r="QPY481" s="13"/>
      <c r="QPZ481" s="13"/>
      <c r="QQA481" s="13"/>
      <c r="QQB481" s="13"/>
      <c r="QQC481" s="13"/>
      <c r="QQD481" s="13"/>
      <c r="QQE481" s="13"/>
      <c r="QQF481" s="13"/>
      <c r="QQG481" s="13"/>
      <c r="QQH481" s="13"/>
      <c r="QQI481" s="13"/>
      <c r="QQJ481" s="13"/>
      <c r="QQK481" s="13"/>
      <c r="QQL481" s="13"/>
      <c r="QQM481" s="13"/>
      <c r="QQN481" s="13"/>
      <c r="QQO481" s="13"/>
      <c r="QQP481" s="13"/>
      <c r="QQQ481" s="13"/>
      <c r="QQR481" s="13"/>
      <c r="QQS481" s="13"/>
      <c r="QQT481" s="13"/>
      <c r="QQU481" s="13"/>
      <c r="QQV481" s="13"/>
      <c r="QQW481" s="13"/>
      <c r="QQX481" s="13"/>
      <c r="QQY481" s="13"/>
      <c r="QQZ481" s="13"/>
      <c r="QRA481" s="13"/>
      <c r="QRB481" s="13"/>
      <c r="QRC481" s="13"/>
      <c r="QRD481" s="13"/>
      <c r="QRE481" s="13"/>
      <c r="QRF481" s="13"/>
      <c r="QRG481" s="13"/>
      <c r="QRH481" s="13"/>
      <c r="QRI481" s="13"/>
      <c r="QRJ481" s="13"/>
      <c r="QRK481" s="13"/>
      <c r="QRL481" s="13"/>
      <c r="QRM481" s="13"/>
      <c r="QRN481" s="13"/>
      <c r="QRO481" s="13"/>
      <c r="QRP481" s="13"/>
      <c r="QRQ481" s="13"/>
      <c r="QRR481" s="13"/>
      <c r="QRS481" s="13"/>
      <c r="QRT481" s="13"/>
      <c r="QRU481" s="13"/>
      <c r="QRV481" s="13"/>
      <c r="QRW481" s="13"/>
      <c r="QRX481" s="13"/>
      <c r="QRY481" s="13"/>
      <c r="QRZ481" s="13"/>
      <c r="QSA481" s="13"/>
      <c r="QSB481" s="13"/>
      <c r="QSC481" s="13"/>
      <c r="QSD481" s="13"/>
      <c r="QSE481" s="13"/>
      <c r="QSF481" s="13"/>
      <c r="QSG481" s="13"/>
      <c r="QSH481" s="13"/>
      <c r="QSI481" s="13"/>
      <c r="QSJ481" s="13"/>
      <c r="QSK481" s="13"/>
      <c r="QSL481" s="13"/>
      <c r="QSM481" s="13"/>
      <c r="QSN481" s="13"/>
      <c r="QSO481" s="13"/>
      <c r="QSP481" s="13"/>
      <c r="QSQ481" s="13"/>
      <c r="QSR481" s="13"/>
      <c r="QSS481" s="13"/>
      <c r="QST481" s="13"/>
      <c r="QSU481" s="13"/>
      <c r="QSV481" s="13"/>
      <c r="QSW481" s="13"/>
      <c r="QSX481" s="13"/>
      <c r="QSY481" s="13"/>
      <c r="QSZ481" s="13"/>
      <c r="QTA481" s="13"/>
      <c r="QTB481" s="13"/>
      <c r="QTC481" s="13"/>
      <c r="QTD481" s="13"/>
      <c r="QTE481" s="13"/>
      <c r="QTF481" s="13"/>
      <c r="QTG481" s="13"/>
      <c r="QTH481" s="13"/>
      <c r="QTI481" s="13"/>
      <c r="QTJ481" s="13"/>
      <c r="QTK481" s="13"/>
      <c r="QTL481" s="13"/>
      <c r="QTM481" s="13"/>
      <c r="QTN481" s="13"/>
      <c r="QTO481" s="13"/>
      <c r="QTP481" s="13"/>
      <c r="QTQ481" s="13"/>
      <c r="QTR481" s="13"/>
      <c r="QTS481" s="13"/>
      <c r="QTT481" s="13"/>
      <c r="QTU481" s="13"/>
      <c r="QTV481" s="13"/>
      <c r="QTW481" s="13"/>
      <c r="QTX481" s="13"/>
      <c r="QTY481" s="13"/>
      <c r="QTZ481" s="13"/>
      <c r="QUA481" s="13"/>
      <c r="QUB481" s="13"/>
      <c r="QUC481" s="13"/>
      <c r="QUD481" s="13"/>
      <c r="QUE481" s="13"/>
      <c r="QUF481" s="13"/>
      <c r="QUG481" s="13"/>
      <c r="QUH481" s="13"/>
      <c r="QUI481" s="13"/>
      <c r="QUJ481" s="13"/>
      <c r="QUK481" s="13"/>
      <c r="QUL481" s="13"/>
      <c r="QUM481" s="13"/>
      <c r="QUN481" s="13"/>
      <c r="QUO481" s="13"/>
      <c r="QUP481" s="13"/>
      <c r="QUQ481" s="13"/>
      <c r="QUR481" s="13"/>
      <c r="QUS481" s="13"/>
      <c r="QUT481" s="13"/>
      <c r="QUU481" s="13"/>
      <c r="QUV481" s="13"/>
      <c r="QUW481" s="13"/>
      <c r="QUX481" s="13"/>
      <c r="QUY481" s="13"/>
      <c r="QUZ481" s="13"/>
      <c r="QVA481" s="13"/>
      <c r="QVB481" s="13"/>
      <c r="QVC481" s="13"/>
      <c r="QVD481" s="13"/>
      <c r="QVE481" s="13"/>
      <c r="QVF481" s="13"/>
      <c r="QVG481" s="13"/>
      <c r="QVH481" s="13"/>
      <c r="QVI481" s="13"/>
      <c r="QVJ481" s="13"/>
      <c r="QVK481" s="13"/>
      <c r="QVL481" s="13"/>
      <c r="QVM481" s="13"/>
      <c r="QVN481" s="13"/>
      <c r="QVO481" s="13"/>
      <c r="QVP481" s="13"/>
      <c r="QVQ481" s="13"/>
      <c r="QVR481" s="13"/>
      <c r="QVS481" s="13"/>
      <c r="QVT481" s="13"/>
      <c r="QVU481" s="13"/>
      <c r="QVV481" s="13"/>
      <c r="QVW481" s="13"/>
      <c r="QVX481" s="13"/>
      <c r="QVY481" s="13"/>
      <c r="QVZ481" s="13"/>
      <c r="QWA481" s="13"/>
      <c r="QWB481" s="13"/>
      <c r="QWC481" s="13"/>
      <c r="QWD481" s="13"/>
      <c r="QWE481" s="13"/>
      <c r="QWF481" s="13"/>
      <c r="QWG481" s="13"/>
      <c r="QWH481" s="13"/>
      <c r="QWI481" s="13"/>
      <c r="QWJ481" s="13"/>
      <c r="QWK481" s="13"/>
      <c r="QWL481" s="13"/>
      <c r="QWM481" s="13"/>
      <c r="QWN481" s="13"/>
      <c r="QWO481" s="13"/>
      <c r="QWP481" s="13"/>
      <c r="QWQ481" s="13"/>
      <c r="QWR481" s="13"/>
      <c r="QWS481" s="13"/>
      <c r="QWT481" s="13"/>
      <c r="QWU481" s="13"/>
      <c r="QWV481" s="13"/>
      <c r="QWW481" s="13"/>
      <c r="QWX481" s="13"/>
      <c r="QWY481" s="13"/>
      <c r="QWZ481" s="13"/>
      <c r="QXA481" s="13"/>
      <c r="QXB481" s="13"/>
      <c r="QXC481" s="13"/>
      <c r="QXD481" s="13"/>
      <c r="QXE481" s="13"/>
      <c r="QXF481" s="13"/>
      <c r="QXG481" s="13"/>
      <c r="QXH481" s="13"/>
      <c r="QXI481" s="13"/>
      <c r="QXJ481" s="13"/>
      <c r="QXK481" s="13"/>
      <c r="QXL481" s="13"/>
      <c r="QXM481" s="13"/>
      <c r="QXN481" s="13"/>
      <c r="QXO481" s="13"/>
      <c r="QXP481" s="13"/>
      <c r="QXQ481" s="13"/>
      <c r="QXR481" s="13"/>
      <c r="QXS481" s="13"/>
      <c r="QXT481" s="13"/>
      <c r="QXU481" s="13"/>
      <c r="QXV481" s="13"/>
      <c r="QXW481" s="13"/>
      <c r="QXX481" s="13"/>
      <c r="QXY481" s="13"/>
      <c r="QXZ481" s="13"/>
      <c r="QYA481" s="13"/>
      <c r="QYB481" s="13"/>
      <c r="QYC481" s="13"/>
      <c r="QYD481" s="13"/>
      <c r="QYE481" s="13"/>
      <c r="QYF481" s="13"/>
      <c r="QYG481" s="13"/>
      <c r="QYH481" s="13"/>
      <c r="QYI481" s="13"/>
      <c r="QYJ481" s="13"/>
      <c r="QYK481" s="13"/>
      <c r="QYL481" s="13"/>
      <c r="QYM481" s="13"/>
      <c r="QYN481" s="13"/>
      <c r="QYO481" s="13"/>
      <c r="QYP481" s="13"/>
      <c r="QYQ481" s="13"/>
      <c r="QYR481" s="13"/>
      <c r="QYS481" s="13"/>
      <c r="QYT481" s="13"/>
      <c r="QYU481" s="13"/>
      <c r="QYV481" s="13"/>
      <c r="QYW481" s="13"/>
      <c r="QYX481" s="13"/>
      <c r="QYY481" s="13"/>
      <c r="QYZ481" s="13"/>
      <c r="QZA481" s="13"/>
      <c r="QZB481" s="13"/>
      <c r="QZC481" s="13"/>
      <c r="QZD481" s="13"/>
      <c r="QZE481" s="13"/>
      <c r="QZF481" s="13"/>
      <c r="QZG481" s="13"/>
      <c r="QZH481" s="13"/>
      <c r="QZI481" s="13"/>
      <c r="QZJ481" s="13"/>
      <c r="QZK481" s="13"/>
      <c r="QZL481" s="13"/>
      <c r="QZM481" s="13"/>
      <c r="QZN481" s="13"/>
      <c r="QZO481" s="13"/>
      <c r="QZP481" s="13"/>
      <c r="QZQ481" s="13"/>
      <c r="QZR481" s="13"/>
      <c r="QZS481" s="13"/>
      <c r="QZT481" s="13"/>
      <c r="QZU481" s="13"/>
      <c r="QZV481" s="13"/>
      <c r="QZW481" s="13"/>
      <c r="QZX481" s="13"/>
      <c r="QZY481" s="13"/>
      <c r="QZZ481" s="13"/>
      <c r="RAA481" s="13"/>
      <c r="RAB481" s="13"/>
      <c r="RAC481" s="13"/>
      <c r="RAD481" s="13"/>
      <c r="RAE481" s="13"/>
      <c r="RAF481" s="13"/>
      <c r="RAG481" s="13"/>
      <c r="RAH481" s="13"/>
      <c r="RAI481" s="13"/>
      <c r="RAJ481" s="13"/>
      <c r="RAK481" s="13"/>
      <c r="RAL481" s="13"/>
      <c r="RAM481" s="13"/>
      <c r="RAN481" s="13"/>
      <c r="RAO481" s="13"/>
      <c r="RAP481" s="13"/>
      <c r="RAQ481" s="13"/>
      <c r="RAR481" s="13"/>
      <c r="RAS481" s="13"/>
      <c r="RAT481" s="13"/>
      <c r="RAU481" s="13"/>
      <c r="RAV481" s="13"/>
      <c r="RAW481" s="13"/>
      <c r="RAX481" s="13"/>
      <c r="RAY481" s="13"/>
      <c r="RAZ481" s="13"/>
      <c r="RBA481" s="13"/>
      <c r="RBB481" s="13"/>
      <c r="RBC481" s="13"/>
      <c r="RBD481" s="13"/>
      <c r="RBE481" s="13"/>
      <c r="RBF481" s="13"/>
      <c r="RBG481" s="13"/>
      <c r="RBH481" s="13"/>
      <c r="RBI481" s="13"/>
      <c r="RBJ481" s="13"/>
      <c r="RBK481" s="13"/>
      <c r="RBL481" s="13"/>
      <c r="RBM481" s="13"/>
      <c r="RBN481" s="13"/>
      <c r="RBO481" s="13"/>
      <c r="RBP481" s="13"/>
      <c r="RBQ481" s="13"/>
      <c r="RBR481" s="13"/>
      <c r="RBS481" s="13"/>
      <c r="RBT481" s="13"/>
      <c r="RBU481" s="13"/>
      <c r="RBV481" s="13"/>
      <c r="RBW481" s="13"/>
      <c r="RBX481" s="13"/>
      <c r="RBY481" s="13"/>
      <c r="RBZ481" s="13"/>
      <c r="RCA481" s="13"/>
      <c r="RCB481" s="13"/>
      <c r="RCC481" s="13"/>
      <c r="RCD481" s="13"/>
      <c r="RCE481" s="13"/>
      <c r="RCF481" s="13"/>
      <c r="RCG481" s="13"/>
      <c r="RCH481" s="13"/>
      <c r="RCI481" s="13"/>
      <c r="RCJ481" s="13"/>
      <c r="RCK481" s="13"/>
      <c r="RCL481" s="13"/>
      <c r="RCM481" s="13"/>
      <c r="RCN481" s="13"/>
      <c r="RCO481" s="13"/>
      <c r="RCP481" s="13"/>
      <c r="RCQ481" s="13"/>
      <c r="RCR481" s="13"/>
      <c r="RCS481" s="13"/>
      <c r="RCT481" s="13"/>
      <c r="RCU481" s="13"/>
      <c r="RCV481" s="13"/>
      <c r="RCW481" s="13"/>
      <c r="RCX481" s="13"/>
      <c r="RCY481" s="13"/>
      <c r="RCZ481" s="13"/>
      <c r="RDA481" s="13"/>
      <c r="RDB481" s="13"/>
      <c r="RDC481" s="13"/>
      <c r="RDD481" s="13"/>
      <c r="RDE481" s="13"/>
      <c r="RDF481" s="13"/>
      <c r="RDG481" s="13"/>
      <c r="RDH481" s="13"/>
      <c r="RDI481" s="13"/>
      <c r="RDJ481" s="13"/>
      <c r="RDK481" s="13"/>
      <c r="RDL481" s="13"/>
      <c r="RDM481" s="13"/>
      <c r="RDN481" s="13"/>
      <c r="RDO481" s="13"/>
      <c r="RDP481" s="13"/>
      <c r="RDQ481" s="13"/>
      <c r="RDR481" s="13"/>
      <c r="RDS481" s="13"/>
      <c r="RDT481" s="13"/>
      <c r="RDU481" s="13"/>
      <c r="RDV481" s="13"/>
      <c r="RDW481" s="13"/>
      <c r="RDX481" s="13"/>
      <c r="RDY481" s="13"/>
      <c r="RDZ481" s="13"/>
      <c r="REA481" s="13"/>
      <c r="REB481" s="13"/>
      <c r="REC481" s="13"/>
      <c r="RED481" s="13"/>
      <c r="REE481" s="13"/>
      <c r="REF481" s="13"/>
      <c r="REG481" s="13"/>
      <c r="REH481" s="13"/>
      <c r="REI481" s="13"/>
      <c r="REJ481" s="13"/>
      <c r="REK481" s="13"/>
      <c r="REL481" s="13"/>
      <c r="REM481" s="13"/>
      <c r="REN481" s="13"/>
      <c r="REO481" s="13"/>
      <c r="REP481" s="13"/>
      <c r="REQ481" s="13"/>
      <c r="RER481" s="13"/>
      <c r="RES481" s="13"/>
      <c r="RET481" s="13"/>
      <c r="REU481" s="13"/>
      <c r="REV481" s="13"/>
      <c r="REW481" s="13"/>
      <c r="REX481" s="13"/>
      <c r="REY481" s="13"/>
      <c r="REZ481" s="13"/>
      <c r="RFA481" s="13"/>
      <c r="RFB481" s="13"/>
      <c r="RFC481" s="13"/>
      <c r="RFD481" s="13"/>
      <c r="RFE481" s="13"/>
      <c r="RFF481" s="13"/>
      <c r="RFG481" s="13"/>
      <c r="RFH481" s="13"/>
      <c r="RFI481" s="13"/>
      <c r="RFJ481" s="13"/>
      <c r="RFK481" s="13"/>
      <c r="RFL481" s="13"/>
      <c r="RFM481" s="13"/>
      <c r="RFN481" s="13"/>
      <c r="RFO481" s="13"/>
      <c r="RFP481" s="13"/>
      <c r="RFQ481" s="13"/>
      <c r="RFR481" s="13"/>
      <c r="RFS481" s="13"/>
      <c r="RFT481" s="13"/>
      <c r="RFU481" s="13"/>
      <c r="RFV481" s="13"/>
      <c r="RFW481" s="13"/>
      <c r="RFX481" s="13"/>
      <c r="RFY481" s="13"/>
      <c r="RFZ481" s="13"/>
      <c r="RGA481" s="13"/>
      <c r="RGB481" s="13"/>
      <c r="RGC481" s="13"/>
      <c r="RGD481" s="13"/>
      <c r="RGE481" s="13"/>
      <c r="RGF481" s="13"/>
      <c r="RGG481" s="13"/>
      <c r="RGH481" s="13"/>
      <c r="RGI481" s="13"/>
      <c r="RGJ481" s="13"/>
      <c r="RGK481" s="13"/>
      <c r="RGL481" s="13"/>
      <c r="RGM481" s="13"/>
      <c r="RGN481" s="13"/>
      <c r="RGO481" s="13"/>
      <c r="RGP481" s="13"/>
      <c r="RGQ481" s="13"/>
      <c r="RGR481" s="13"/>
      <c r="RGS481" s="13"/>
      <c r="RGT481" s="13"/>
      <c r="RGU481" s="13"/>
      <c r="RGV481" s="13"/>
      <c r="RGW481" s="13"/>
      <c r="RGX481" s="13"/>
      <c r="RGY481" s="13"/>
      <c r="RGZ481" s="13"/>
      <c r="RHA481" s="13"/>
      <c r="RHB481" s="13"/>
      <c r="RHC481" s="13"/>
      <c r="RHD481" s="13"/>
      <c r="RHE481" s="13"/>
      <c r="RHF481" s="13"/>
      <c r="RHG481" s="13"/>
      <c r="RHH481" s="13"/>
      <c r="RHI481" s="13"/>
      <c r="RHJ481" s="13"/>
      <c r="RHK481" s="13"/>
      <c r="RHL481" s="13"/>
      <c r="RHM481" s="13"/>
      <c r="RHN481" s="13"/>
      <c r="RHO481" s="13"/>
      <c r="RHP481" s="13"/>
      <c r="RHQ481" s="13"/>
      <c r="RHR481" s="13"/>
      <c r="RHS481" s="13"/>
      <c r="RHT481" s="13"/>
      <c r="RHU481" s="13"/>
      <c r="RHV481" s="13"/>
      <c r="RHW481" s="13"/>
      <c r="RHX481" s="13"/>
      <c r="RHY481" s="13"/>
      <c r="RHZ481" s="13"/>
      <c r="RIA481" s="13"/>
      <c r="RIB481" s="13"/>
      <c r="RIC481" s="13"/>
      <c r="RID481" s="13"/>
      <c r="RIE481" s="13"/>
      <c r="RIF481" s="13"/>
      <c r="RIG481" s="13"/>
      <c r="RIH481" s="13"/>
      <c r="RII481" s="13"/>
      <c r="RIJ481" s="13"/>
      <c r="RIK481" s="13"/>
      <c r="RIL481" s="13"/>
      <c r="RIM481" s="13"/>
      <c r="RIN481" s="13"/>
      <c r="RIO481" s="13"/>
      <c r="RIP481" s="13"/>
      <c r="RIQ481" s="13"/>
      <c r="RIR481" s="13"/>
      <c r="RIS481" s="13"/>
      <c r="RIT481" s="13"/>
      <c r="RIU481" s="13"/>
      <c r="RIV481" s="13"/>
      <c r="RIW481" s="13"/>
      <c r="RIX481" s="13"/>
      <c r="RIY481" s="13"/>
      <c r="RIZ481" s="13"/>
      <c r="RJA481" s="13"/>
      <c r="RJB481" s="13"/>
      <c r="RJC481" s="13"/>
      <c r="RJD481" s="13"/>
      <c r="RJE481" s="13"/>
      <c r="RJF481" s="13"/>
      <c r="RJG481" s="13"/>
      <c r="RJH481" s="13"/>
      <c r="RJI481" s="13"/>
      <c r="RJJ481" s="13"/>
      <c r="RJK481" s="13"/>
      <c r="RJL481" s="13"/>
      <c r="RJM481" s="13"/>
      <c r="RJN481" s="13"/>
      <c r="RJO481" s="13"/>
      <c r="RJP481" s="13"/>
      <c r="RJQ481" s="13"/>
      <c r="RJR481" s="13"/>
      <c r="RJS481" s="13"/>
      <c r="RJT481" s="13"/>
      <c r="RJU481" s="13"/>
      <c r="RJV481" s="13"/>
      <c r="RJW481" s="13"/>
      <c r="RJX481" s="13"/>
      <c r="RJY481" s="13"/>
      <c r="RJZ481" s="13"/>
      <c r="RKA481" s="13"/>
      <c r="RKB481" s="13"/>
      <c r="RKC481" s="13"/>
      <c r="RKD481" s="13"/>
      <c r="RKE481" s="13"/>
      <c r="RKF481" s="13"/>
      <c r="RKG481" s="13"/>
      <c r="RKH481" s="13"/>
      <c r="RKI481" s="13"/>
      <c r="RKJ481" s="13"/>
      <c r="RKK481" s="13"/>
      <c r="RKL481" s="13"/>
      <c r="RKM481" s="13"/>
      <c r="RKN481" s="13"/>
      <c r="RKO481" s="13"/>
      <c r="RKP481" s="13"/>
      <c r="RKQ481" s="13"/>
      <c r="RKR481" s="13"/>
      <c r="RKS481" s="13"/>
      <c r="RKT481" s="13"/>
      <c r="RKU481" s="13"/>
      <c r="RKV481" s="13"/>
      <c r="RKW481" s="13"/>
      <c r="RKX481" s="13"/>
      <c r="RKY481" s="13"/>
      <c r="RKZ481" s="13"/>
      <c r="RLA481" s="13"/>
      <c r="RLB481" s="13"/>
      <c r="RLC481" s="13"/>
      <c r="RLD481" s="13"/>
      <c r="RLE481" s="13"/>
      <c r="RLF481" s="13"/>
      <c r="RLG481" s="13"/>
      <c r="RLH481" s="13"/>
      <c r="RLI481" s="13"/>
      <c r="RLJ481" s="13"/>
      <c r="RLK481" s="13"/>
      <c r="RLL481" s="13"/>
      <c r="RLM481" s="13"/>
      <c r="RLN481" s="13"/>
      <c r="RLO481" s="13"/>
      <c r="RLP481" s="13"/>
      <c r="RLQ481" s="13"/>
      <c r="RLR481" s="13"/>
      <c r="RLS481" s="13"/>
      <c r="RLT481" s="13"/>
      <c r="RLU481" s="13"/>
      <c r="RLV481" s="13"/>
      <c r="RLW481" s="13"/>
      <c r="RLX481" s="13"/>
      <c r="RLY481" s="13"/>
      <c r="RLZ481" s="13"/>
      <c r="RMA481" s="13"/>
      <c r="RMB481" s="13"/>
      <c r="RMC481" s="13"/>
      <c r="RMD481" s="13"/>
      <c r="RME481" s="13"/>
      <c r="RMF481" s="13"/>
      <c r="RMG481" s="13"/>
      <c r="RMH481" s="13"/>
      <c r="RMI481" s="13"/>
      <c r="RMJ481" s="13"/>
      <c r="RMK481" s="13"/>
      <c r="RML481" s="13"/>
      <c r="RMM481" s="13"/>
      <c r="RMN481" s="13"/>
      <c r="RMO481" s="13"/>
      <c r="RMP481" s="13"/>
      <c r="RMQ481" s="13"/>
      <c r="RMR481" s="13"/>
      <c r="RMS481" s="13"/>
      <c r="RMT481" s="13"/>
      <c r="RMU481" s="13"/>
      <c r="RMV481" s="13"/>
      <c r="RMW481" s="13"/>
      <c r="RMX481" s="13"/>
      <c r="RMY481" s="13"/>
      <c r="RMZ481" s="13"/>
      <c r="RNA481" s="13"/>
      <c r="RNB481" s="13"/>
      <c r="RNC481" s="13"/>
      <c r="RND481" s="13"/>
      <c r="RNE481" s="13"/>
      <c r="RNF481" s="13"/>
      <c r="RNG481" s="13"/>
      <c r="RNH481" s="13"/>
      <c r="RNI481" s="13"/>
      <c r="RNJ481" s="13"/>
      <c r="RNK481" s="13"/>
      <c r="RNL481" s="13"/>
      <c r="RNM481" s="13"/>
      <c r="RNN481" s="13"/>
      <c r="RNO481" s="13"/>
      <c r="RNP481" s="13"/>
      <c r="RNQ481" s="13"/>
      <c r="RNR481" s="13"/>
      <c r="RNS481" s="13"/>
      <c r="RNT481" s="13"/>
      <c r="RNU481" s="13"/>
      <c r="RNV481" s="13"/>
      <c r="RNW481" s="13"/>
      <c r="RNX481" s="13"/>
      <c r="RNY481" s="13"/>
      <c r="RNZ481" s="13"/>
      <c r="ROA481" s="13"/>
      <c r="ROB481" s="13"/>
      <c r="ROC481" s="13"/>
      <c r="ROD481" s="13"/>
      <c r="ROE481" s="13"/>
      <c r="ROF481" s="13"/>
      <c r="ROG481" s="13"/>
      <c r="ROH481" s="13"/>
      <c r="ROI481" s="13"/>
      <c r="ROJ481" s="13"/>
      <c r="ROK481" s="13"/>
      <c r="ROL481" s="13"/>
      <c r="ROM481" s="13"/>
      <c r="RON481" s="13"/>
      <c r="ROO481" s="13"/>
      <c r="ROP481" s="13"/>
      <c r="ROQ481" s="13"/>
      <c r="ROR481" s="13"/>
      <c r="ROS481" s="13"/>
      <c r="ROT481" s="13"/>
      <c r="ROU481" s="13"/>
      <c r="ROV481" s="13"/>
      <c r="ROW481" s="13"/>
      <c r="ROX481" s="13"/>
      <c r="ROY481" s="13"/>
      <c r="ROZ481" s="13"/>
      <c r="RPA481" s="13"/>
      <c r="RPB481" s="13"/>
      <c r="RPC481" s="13"/>
      <c r="RPD481" s="13"/>
      <c r="RPE481" s="13"/>
      <c r="RPF481" s="13"/>
      <c r="RPG481" s="13"/>
      <c r="RPH481" s="13"/>
      <c r="RPI481" s="13"/>
      <c r="RPJ481" s="13"/>
      <c r="RPK481" s="13"/>
      <c r="RPL481" s="13"/>
      <c r="RPM481" s="13"/>
      <c r="RPN481" s="13"/>
      <c r="RPO481" s="13"/>
      <c r="RPP481" s="13"/>
      <c r="RPQ481" s="13"/>
      <c r="RPR481" s="13"/>
      <c r="RPS481" s="13"/>
      <c r="RPT481" s="13"/>
      <c r="RPU481" s="13"/>
      <c r="RPV481" s="13"/>
      <c r="RPW481" s="13"/>
      <c r="RPX481" s="13"/>
      <c r="RPY481" s="13"/>
      <c r="RPZ481" s="13"/>
      <c r="RQA481" s="13"/>
      <c r="RQB481" s="13"/>
      <c r="RQC481" s="13"/>
      <c r="RQD481" s="13"/>
      <c r="RQE481" s="13"/>
      <c r="RQF481" s="13"/>
      <c r="RQG481" s="13"/>
      <c r="RQH481" s="13"/>
      <c r="RQI481" s="13"/>
      <c r="RQJ481" s="13"/>
      <c r="RQK481" s="13"/>
      <c r="RQL481" s="13"/>
      <c r="RQM481" s="13"/>
      <c r="RQN481" s="13"/>
      <c r="RQO481" s="13"/>
      <c r="RQP481" s="13"/>
      <c r="RQQ481" s="13"/>
      <c r="RQR481" s="13"/>
      <c r="RQS481" s="13"/>
      <c r="RQT481" s="13"/>
      <c r="RQU481" s="13"/>
      <c r="RQV481" s="13"/>
      <c r="RQW481" s="13"/>
      <c r="RQX481" s="13"/>
      <c r="RQY481" s="13"/>
      <c r="RQZ481" s="13"/>
      <c r="RRA481" s="13"/>
      <c r="RRB481" s="13"/>
      <c r="RRC481" s="13"/>
      <c r="RRD481" s="13"/>
      <c r="RRE481" s="13"/>
      <c r="RRF481" s="13"/>
      <c r="RRG481" s="13"/>
      <c r="RRH481" s="13"/>
      <c r="RRI481" s="13"/>
      <c r="RRJ481" s="13"/>
      <c r="RRK481" s="13"/>
      <c r="RRL481" s="13"/>
      <c r="RRM481" s="13"/>
      <c r="RRN481" s="13"/>
      <c r="RRO481" s="13"/>
      <c r="RRP481" s="13"/>
      <c r="RRQ481" s="13"/>
      <c r="RRR481" s="13"/>
      <c r="RRS481" s="13"/>
      <c r="RRT481" s="13"/>
      <c r="RRU481" s="13"/>
      <c r="RRV481" s="13"/>
      <c r="RRW481" s="13"/>
      <c r="RRX481" s="13"/>
      <c r="RRY481" s="13"/>
      <c r="RRZ481" s="13"/>
      <c r="RSA481" s="13"/>
      <c r="RSB481" s="13"/>
      <c r="RSC481" s="13"/>
      <c r="RSD481" s="13"/>
      <c r="RSE481" s="13"/>
      <c r="RSF481" s="13"/>
      <c r="RSG481" s="13"/>
      <c r="RSH481" s="13"/>
      <c r="RSI481" s="13"/>
      <c r="RSJ481" s="13"/>
      <c r="RSK481" s="13"/>
      <c r="RSL481" s="13"/>
      <c r="RSM481" s="13"/>
      <c r="RSN481" s="13"/>
      <c r="RSO481" s="13"/>
      <c r="RSP481" s="13"/>
      <c r="RSQ481" s="13"/>
      <c r="RSR481" s="13"/>
      <c r="RSS481" s="13"/>
      <c r="RST481" s="13"/>
      <c r="RSU481" s="13"/>
      <c r="RSV481" s="13"/>
      <c r="RSW481" s="13"/>
      <c r="RSX481" s="13"/>
      <c r="RSY481" s="13"/>
      <c r="RSZ481" s="13"/>
      <c r="RTA481" s="13"/>
      <c r="RTB481" s="13"/>
      <c r="RTC481" s="13"/>
      <c r="RTD481" s="13"/>
      <c r="RTE481" s="13"/>
      <c r="RTF481" s="13"/>
      <c r="RTG481" s="13"/>
      <c r="RTH481" s="13"/>
      <c r="RTI481" s="13"/>
      <c r="RTJ481" s="13"/>
      <c r="RTK481" s="13"/>
      <c r="RTL481" s="13"/>
      <c r="RTM481" s="13"/>
      <c r="RTN481" s="13"/>
      <c r="RTO481" s="13"/>
      <c r="RTP481" s="13"/>
      <c r="RTQ481" s="13"/>
      <c r="RTR481" s="13"/>
      <c r="RTS481" s="13"/>
      <c r="RTT481" s="13"/>
      <c r="RTU481" s="13"/>
      <c r="RTV481" s="13"/>
      <c r="RTW481" s="13"/>
      <c r="RTX481" s="13"/>
      <c r="RTY481" s="13"/>
      <c r="RTZ481" s="13"/>
      <c r="RUA481" s="13"/>
      <c r="RUB481" s="13"/>
      <c r="RUC481" s="13"/>
      <c r="RUD481" s="13"/>
      <c r="RUE481" s="13"/>
      <c r="RUF481" s="13"/>
      <c r="RUG481" s="13"/>
      <c r="RUH481" s="13"/>
      <c r="RUI481" s="13"/>
      <c r="RUJ481" s="13"/>
      <c r="RUK481" s="13"/>
      <c r="RUL481" s="13"/>
      <c r="RUM481" s="13"/>
      <c r="RUN481" s="13"/>
      <c r="RUO481" s="13"/>
      <c r="RUP481" s="13"/>
      <c r="RUQ481" s="13"/>
      <c r="RUR481" s="13"/>
      <c r="RUS481" s="13"/>
      <c r="RUT481" s="13"/>
      <c r="RUU481" s="13"/>
      <c r="RUV481" s="13"/>
      <c r="RUW481" s="13"/>
      <c r="RUX481" s="13"/>
      <c r="RUY481" s="13"/>
      <c r="RUZ481" s="13"/>
      <c r="RVA481" s="13"/>
      <c r="RVB481" s="13"/>
      <c r="RVC481" s="13"/>
      <c r="RVD481" s="13"/>
      <c r="RVE481" s="13"/>
      <c r="RVF481" s="13"/>
      <c r="RVG481" s="13"/>
      <c r="RVH481" s="13"/>
      <c r="RVI481" s="13"/>
      <c r="RVJ481" s="13"/>
      <c r="RVK481" s="13"/>
      <c r="RVL481" s="13"/>
      <c r="RVM481" s="13"/>
      <c r="RVN481" s="13"/>
      <c r="RVO481" s="13"/>
      <c r="RVP481" s="13"/>
      <c r="RVQ481" s="13"/>
      <c r="RVR481" s="13"/>
      <c r="RVS481" s="13"/>
      <c r="RVT481" s="13"/>
      <c r="RVU481" s="13"/>
      <c r="RVV481" s="13"/>
      <c r="RVW481" s="13"/>
      <c r="RVX481" s="13"/>
      <c r="RVY481" s="13"/>
      <c r="RVZ481" s="13"/>
      <c r="RWA481" s="13"/>
      <c r="RWB481" s="13"/>
      <c r="RWC481" s="13"/>
      <c r="RWD481" s="13"/>
      <c r="RWE481" s="13"/>
      <c r="RWF481" s="13"/>
      <c r="RWG481" s="13"/>
      <c r="RWH481" s="13"/>
      <c r="RWI481" s="13"/>
      <c r="RWJ481" s="13"/>
      <c r="RWK481" s="13"/>
      <c r="RWL481" s="13"/>
      <c r="RWM481" s="13"/>
      <c r="RWN481" s="13"/>
      <c r="RWO481" s="13"/>
      <c r="RWP481" s="13"/>
      <c r="RWQ481" s="13"/>
      <c r="RWR481" s="13"/>
      <c r="RWS481" s="13"/>
      <c r="RWT481" s="13"/>
      <c r="RWU481" s="13"/>
      <c r="RWV481" s="13"/>
      <c r="RWW481" s="13"/>
      <c r="RWX481" s="13"/>
      <c r="RWY481" s="13"/>
      <c r="RWZ481" s="13"/>
      <c r="RXA481" s="13"/>
      <c r="RXB481" s="13"/>
      <c r="RXC481" s="13"/>
      <c r="RXD481" s="13"/>
      <c r="RXE481" s="13"/>
      <c r="RXF481" s="13"/>
      <c r="RXG481" s="13"/>
      <c r="RXH481" s="13"/>
      <c r="RXI481" s="13"/>
      <c r="RXJ481" s="13"/>
      <c r="RXK481" s="13"/>
      <c r="RXL481" s="13"/>
      <c r="RXM481" s="13"/>
      <c r="RXN481" s="13"/>
      <c r="RXO481" s="13"/>
      <c r="RXP481" s="13"/>
      <c r="RXQ481" s="13"/>
      <c r="RXR481" s="13"/>
      <c r="RXS481" s="13"/>
      <c r="RXT481" s="13"/>
      <c r="RXU481" s="13"/>
      <c r="RXV481" s="13"/>
      <c r="RXW481" s="13"/>
      <c r="RXX481" s="13"/>
      <c r="RXY481" s="13"/>
      <c r="RXZ481" s="13"/>
      <c r="RYA481" s="13"/>
      <c r="RYB481" s="13"/>
      <c r="RYC481" s="13"/>
      <c r="RYD481" s="13"/>
      <c r="RYE481" s="13"/>
      <c r="RYF481" s="13"/>
      <c r="RYG481" s="13"/>
      <c r="RYH481" s="13"/>
      <c r="RYI481" s="13"/>
      <c r="RYJ481" s="13"/>
      <c r="RYK481" s="13"/>
      <c r="RYL481" s="13"/>
      <c r="RYM481" s="13"/>
      <c r="RYN481" s="13"/>
      <c r="RYO481" s="13"/>
      <c r="RYP481" s="13"/>
      <c r="RYQ481" s="13"/>
      <c r="RYR481" s="13"/>
      <c r="RYS481" s="13"/>
      <c r="RYT481" s="13"/>
      <c r="RYU481" s="13"/>
      <c r="RYV481" s="13"/>
      <c r="RYW481" s="13"/>
      <c r="RYX481" s="13"/>
      <c r="RYY481" s="13"/>
      <c r="RYZ481" s="13"/>
      <c r="RZA481" s="13"/>
      <c r="RZB481" s="13"/>
      <c r="RZC481" s="13"/>
      <c r="RZD481" s="13"/>
      <c r="RZE481" s="13"/>
      <c r="RZF481" s="13"/>
      <c r="RZG481" s="13"/>
      <c r="RZH481" s="13"/>
      <c r="RZI481" s="13"/>
      <c r="RZJ481" s="13"/>
      <c r="RZK481" s="13"/>
      <c r="RZL481" s="13"/>
      <c r="RZM481" s="13"/>
      <c r="RZN481" s="13"/>
      <c r="RZO481" s="13"/>
      <c r="RZP481" s="13"/>
      <c r="RZQ481" s="13"/>
      <c r="RZR481" s="13"/>
      <c r="RZS481" s="13"/>
      <c r="RZT481" s="13"/>
      <c r="RZU481" s="13"/>
      <c r="RZV481" s="13"/>
      <c r="RZW481" s="13"/>
      <c r="RZX481" s="13"/>
      <c r="RZY481" s="13"/>
      <c r="RZZ481" s="13"/>
      <c r="SAA481" s="13"/>
      <c r="SAB481" s="13"/>
      <c r="SAC481" s="13"/>
      <c r="SAD481" s="13"/>
      <c r="SAE481" s="13"/>
      <c r="SAF481" s="13"/>
      <c r="SAG481" s="13"/>
      <c r="SAH481" s="13"/>
      <c r="SAI481" s="13"/>
      <c r="SAJ481" s="13"/>
      <c r="SAK481" s="13"/>
      <c r="SAL481" s="13"/>
      <c r="SAM481" s="13"/>
      <c r="SAN481" s="13"/>
      <c r="SAO481" s="13"/>
      <c r="SAP481" s="13"/>
      <c r="SAQ481" s="13"/>
      <c r="SAR481" s="13"/>
      <c r="SAS481" s="13"/>
      <c r="SAT481" s="13"/>
      <c r="SAU481" s="13"/>
      <c r="SAV481" s="13"/>
      <c r="SAW481" s="13"/>
      <c r="SAX481" s="13"/>
      <c r="SAY481" s="13"/>
      <c r="SAZ481" s="13"/>
      <c r="SBA481" s="13"/>
      <c r="SBB481" s="13"/>
      <c r="SBC481" s="13"/>
      <c r="SBD481" s="13"/>
      <c r="SBE481" s="13"/>
      <c r="SBF481" s="13"/>
      <c r="SBG481" s="13"/>
      <c r="SBH481" s="13"/>
      <c r="SBI481" s="13"/>
      <c r="SBJ481" s="13"/>
      <c r="SBK481" s="13"/>
      <c r="SBL481" s="13"/>
      <c r="SBM481" s="13"/>
      <c r="SBN481" s="13"/>
      <c r="SBO481" s="13"/>
      <c r="SBP481" s="13"/>
      <c r="SBQ481" s="13"/>
      <c r="SBR481" s="13"/>
      <c r="SBS481" s="13"/>
      <c r="SBT481" s="13"/>
      <c r="SBU481" s="13"/>
      <c r="SBV481" s="13"/>
      <c r="SBW481" s="13"/>
      <c r="SBX481" s="13"/>
      <c r="SBY481" s="13"/>
      <c r="SBZ481" s="13"/>
      <c r="SCA481" s="13"/>
      <c r="SCB481" s="13"/>
      <c r="SCC481" s="13"/>
      <c r="SCD481" s="13"/>
      <c r="SCE481" s="13"/>
      <c r="SCF481" s="13"/>
      <c r="SCG481" s="13"/>
      <c r="SCH481" s="13"/>
      <c r="SCI481" s="13"/>
      <c r="SCJ481" s="13"/>
      <c r="SCK481" s="13"/>
      <c r="SCL481" s="13"/>
      <c r="SCM481" s="13"/>
      <c r="SCN481" s="13"/>
      <c r="SCO481" s="13"/>
      <c r="SCP481" s="13"/>
      <c r="SCQ481" s="13"/>
      <c r="SCR481" s="13"/>
      <c r="SCS481" s="13"/>
      <c r="SCT481" s="13"/>
      <c r="SCU481" s="13"/>
      <c r="SCV481" s="13"/>
      <c r="SCW481" s="13"/>
      <c r="SCX481" s="13"/>
      <c r="SCY481" s="13"/>
      <c r="SCZ481" s="13"/>
      <c r="SDA481" s="13"/>
      <c r="SDB481" s="13"/>
      <c r="SDC481" s="13"/>
      <c r="SDD481" s="13"/>
      <c r="SDE481" s="13"/>
      <c r="SDF481" s="13"/>
      <c r="SDG481" s="13"/>
      <c r="SDH481" s="13"/>
      <c r="SDI481" s="13"/>
      <c r="SDJ481" s="13"/>
      <c r="SDK481" s="13"/>
      <c r="SDL481" s="13"/>
      <c r="SDM481" s="13"/>
      <c r="SDN481" s="13"/>
      <c r="SDO481" s="13"/>
      <c r="SDP481" s="13"/>
      <c r="SDQ481" s="13"/>
      <c r="SDR481" s="13"/>
      <c r="SDS481" s="13"/>
      <c r="SDT481" s="13"/>
      <c r="SDU481" s="13"/>
      <c r="SDV481" s="13"/>
      <c r="SDW481" s="13"/>
      <c r="SDX481" s="13"/>
      <c r="SDY481" s="13"/>
      <c r="SDZ481" s="13"/>
      <c r="SEA481" s="13"/>
      <c r="SEB481" s="13"/>
      <c r="SEC481" s="13"/>
      <c r="SED481" s="13"/>
      <c r="SEE481" s="13"/>
      <c r="SEF481" s="13"/>
      <c r="SEG481" s="13"/>
      <c r="SEH481" s="13"/>
      <c r="SEI481" s="13"/>
      <c r="SEJ481" s="13"/>
      <c r="SEK481" s="13"/>
      <c r="SEL481" s="13"/>
      <c r="SEM481" s="13"/>
      <c r="SEN481" s="13"/>
      <c r="SEO481" s="13"/>
      <c r="SEP481" s="13"/>
      <c r="SEQ481" s="13"/>
      <c r="SER481" s="13"/>
      <c r="SES481" s="13"/>
      <c r="SET481" s="13"/>
      <c r="SEU481" s="13"/>
      <c r="SEV481" s="13"/>
      <c r="SEW481" s="13"/>
      <c r="SEX481" s="13"/>
      <c r="SEY481" s="13"/>
      <c r="SEZ481" s="13"/>
      <c r="SFA481" s="13"/>
      <c r="SFB481" s="13"/>
      <c r="SFC481" s="13"/>
      <c r="SFD481" s="13"/>
      <c r="SFE481" s="13"/>
      <c r="SFF481" s="13"/>
      <c r="SFG481" s="13"/>
      <c r="SFH481" s="13"/>
      <c r="SFI481" s="13"/>
      <c r="SFJ481" s="13"/>
      <c r="SFK481" s="13"/>
      <c r="SFL481" s="13"/>
      <c r="SFM481" s="13"/>
      <c r="SFN481" s="13"/>
      <c r="SFO481" s="13"/>
      <c r="SFP481" s="13"/>
      <c r="SFQ481" s="13"/>
      <c r="SFR481" s="13"/>
      <c r="SFS481" s="13"/>
      <c r="SFT481" s="13"/>
      <c r="SFU481" s="13"/>
      <c r="SFV481" s="13"/>
      <c r="SFW481" s="13"/>
      <c r="SFX481" s="13"/>
      <c r="SFY481" s="13"/>
      <c r="SFZ481" s="13"/>
      <c r="SGA481" s="13"/>
      <c r="SGB481" s="13"/>
      <c r="SGC481" s="13"/>
      <c r="SGD481" s="13"/>
      <c r="SGE481" s="13"/>
      <c r="SGF481" s="13"/>
      <c r="SGG481" s="13"/>
      <c r="SGH481" s="13"/>
      <c r="SGI481" s="13"/>
      <c r="SGJ481" s="13"/>
      <c r="SGK481" s="13"/>
      <c r="SGL481" s="13"/>
      <c r="SGM481" s="13"/>
      <c r="SGN481" s="13"/>
      <c r="SGO481" s="13"/>
      <c r="SGP481" s="13"/>
      <c r="SGQ481" s="13"/>
      <c r="SGR481" s="13"/>
      <c r="SGS481" s="13"/>
      <c r="SGT481" s="13"/>
      <c r="SGU481" s="13"/>
      <c r="SGV481" s="13"/>
      <c r="SGW481" s="13"/>
      <c r="SGX481" s="13"/>
      <c r="SGY481" s="13"/>
      <c r="SGZ481" s="13"/>
      <c r="SHA481" s="13"/>
      <c r="SHB481" s="13"/>
      <c r="SHC481" s="13"/>
      <c r="SHD481" s="13"/>
      <c r="SHE481" s="13"/>
      <c r="SHF481" s="13"/>
      <c r="SHG481" s="13"/>
      <c r="SHH481" s="13"/>
      <c r="SHI481" s="13"/>
      <c r="SHJ481" s="13"/>
      <c r="SHK481" s="13"/>
      <c r="SHL481" s="13"/>
      <c r="SHM481" s="13"/>
      <c r="SHN481" s="13"/>
      <c r="SHO481" s="13"/>
      <c r="SHP481" s="13"/>
      <c r="SHQ481" s="13"/>
      <c r="SHR481" s="13"/>
      <c r="SHS481" s="13"/>
      <c r="SHT481" s="13"/>
      <c r="SHU481" s="13"/>
      <c r="SHV481" s="13"/>
      <c r="SHW481" s="13"/>
      <c r="SHX481" s="13"/>
      <c r="SHY481" s="13"/>
      <c r="SHZ481" s="13"/>
      <c r="SIA481" s="13"/>
      <c r="SIB481" s="13"/>
      <c r="SIC481" s="13"/>
      <c r="SID481" s="13"/>
      <c r="SIE481" s="13"/>
      <c r="SIF481" s="13"/>
      <c r="SIG481" s="13"/>
      <c r="SIH481" s="13"/>
      <c r="SII481" s="13"/>
      <c r="SIJ481" s="13"/>
      <c r="SIK481" s="13"/>
      <c r="SIL481" s="13"/>
      <c r="SIM481" s="13"/>
      <c r="SIN481" s="13"/>
      <c r="SIO481" s="13"/>
      <c r="SIP481" s="13"/>
      <c r="SIQ481" s="13"/>
      <c r="SIR481" s="13"/>
      <c r="SIS481" s="13"/>
      <c r="SIT481" s="13"/>
      <c r="SIU481" s="13"/>
      <c r="SIV481" s="13"/>
      <c r="SIW481" s="13"/>
      <c r="SIX481" s="13"/>
      <c r="SIY481" s="13"/>
      <c r="SIZ481" s="13"/>
      <c r="SJA481" s="13"/>
      <c r="SJB481" s="13"/>
      <c r="SJC481" s="13"/>
      <c r="SJD481" s="13"/>
      <c r="SJE481" s="13"/>
      <c r="SJF481" s="13"/>
      <c r="SJG481" s="13"/>
      <c r="SJH481" s="13"/>
      <c r="SJI481" s="13"/>
      <c r="SJJ481" s="13"/>
      <c r="SJK481" s="13"/>
      <c r="SJL481" s="13"/>
      <c r="SJM481" s="13"/>
      <c r="SJN481" s="13"/>
      <c r="SJO481" s="13"/>
      <c r="SJP481" s="13"/>
      <c r="SJQ481" s="13"/>
      <c r="SJR481" s="13"/>
      <c r="SJS481" s="13"/>
      <c r="SJT481" s="13"/>
      <c r="SJU481" s="13"/>
      <c r="SJV481" s="13"/>
      <c r="SJW481" s="13"/>
      <c r="SJX481" s="13"/>
      <c r="SJY481" s="13"/>
      <c r="SJZ481" s="13"/>
      <c r="SKA481" s="13"/>
      <c r="SKB481" s="13"/>
      <c r="SKC481" s="13"/>
      <c r="SKD481" s="13"/>
      <c r="SKE481" s="13"/>
      <c r="SKF481" s="13"/>
      <c r="SKG481" s="13"/>
      <c r="SKH481" s="13"/>
      <c r="SKI481" s="13"/>
      <c r="SKJ481" s="13"/>
      <c r="SKK481" s="13"/>
      <c r="SKL481" s="13"/>
      <c r="SKM481" s="13"/>
      <c r="SKN481" s="13"/>
      <c r="SKO481" s="13"/>
      <c r="SKP481" s="13"/>
      <c r="SKQ481" s="13"/>
      <c r="SKR481" s="13"/>
      <c r="SKS481" s="13"/>
      <c r="SKT481" s="13"/>
      <c r="SKU481" s="13"/>
      <c r="SKV481" s="13"/>
      <c r="SKW481" s="13"/>
      <c r="SKX481" s="13"/>
      <c r="SKY481" s="13"/>
      <c r="SKZ481" s="13"/>
      <c r="SLA481" s="13"/>
      <c r="SLB481" s="13"/>
      <c r="SLC481" s="13"/>
      <c r="SLD481" s="13"/>
      <c r="SLE481" s="13"/>
      <c r="SLF481" s="13"/>
      <c r="SLG481" s="13"/>
      <c r="SLH481" s="13"/>
      <c r="SLI481" s="13"/>
      <c r="SLJ481" s="13"/>
      <c r="SLK481" s="13"/>
      <c r="SLL481" s="13"/>
      <c r="SLM481" s="13"/>
      <c r="SLN481" s="13"/>
      <c r="SLO481" s="13"/>
      <c r="SLP481" s="13"/>
      <c r="SLQ481" s="13"/>
      <c r="SLR481" s="13"/>
      <c r="SLS481" s="13"/>
      <c r="SLT481" s="13"/>
      <c r="SLU481" s="13"/>
      <c r="SLV481" s="13"/>
      <c r="SLW481" s="13"/>
      <c r="SLX481" s="13"/>
      <c r="SLY481" s="13"/>
      <c r="SLZ481" s="13"/>
      <c r="SMA481" s="13"/>
      <c r="SMB481" s="13"/>
      <c r="SMC481" s="13"/>
      <c r="SMD481" s="13"/>
      <c r="SME481" s="13"/>
      <c r="SMF481" s="13"/>
      <c r="SMG481" s="13"/>
      <c r="SMH481" s="13"/>
      <c r="SMI481" s="13"/>
      <c r="SMJ481" s="13"/>
      <c r="SMK481" s="13"/>
      <c r="SML481" s="13"/>
      <c r="SMM481" s="13"/>
      <c r="SMN481" s="13"/>
      <c r="SMO481" s="13"/>
      <c r="SMP481" s="13"/>
      <c r="SMQ481" s="13"/>
      <c r="SMR481" s="13"/>
      <c r="SMS481" s="13"/>
      <c r="SMT481" s="13"/>
      <c r="SMU481" s="13"/>
      <c r="SMV481" s="13"/>
      <c r="SMW481" s="13"/>
      <c r="SMX481" s="13"/>
      <c r="SMY481" s="13"/>
      <c r="SMZ481" s="13"/>
      <c r="SNA481" s="13"/>
      <c r="SNB481" s="13"/>
      <c r="SNC481" s="13"/>
      <c r="SND481" s="13"/>
      <c r="SNE481" s="13"/>
      <c r="SNF481" s="13"/>
      <c r="SNG481" s="13"/>
      <c r="SNH481" s="13"/>
      <c r="SNI481" s="13"/>
      <c r="SNJ481" s="13"/>
      <c r="SNK481" s="13"/>
      <c r="SNL481" s="13"/>
      <c r="SNM481" s="13"/>
      <c r="SNN481" s="13"/>
      <c r="SNO481" s="13"/>
      <c r="SNP481" s="13"/>
      <c r="SNQ481" s="13"/>
      <c r="SNR481" s="13"/>
      <c r="SNS481" s="13"/>
      <c r="SNT481" s="13"/>
      <c r="SNU481" s="13"/>
      <c r="SNV481" s="13"/>
      <c r="SNW481" s="13"/>
      <c r="SNX481" s="13"/>
      <c r="SNY481" s="13"/>
      <c r="SNZ481" s="13"/>
      <c r="SOA481" s="13"/>
      <c r="SOB481" s="13"/>
      <c r="SOC481" s="13"/>
      <c r="SOD481" s="13"/>
      <c r="SOE481" s="13"/>
      <c r="SOF481" s="13"/>
      <c r="SOG481" s="13"/>
      <c r="SOH481" s="13"/>
      <c r="SOI481" s="13"/>
      <c r="SOJ481" s="13"/>
      <c r="SOK481" s="13"/>
      <c r="SOL481" s="13"/>
      <c r="SOM481" s="13"/>
      <c r="SON481" s="13"/>
      <c r="SOO481" s="13"/>
      <c r="SOP481" s="13"/>
      <c r="SOQ481" s="13"/>
      <c r="SOR481" s="13"/>
      <c r="SOS481" s="13"/>
      <c r="SOT481" s="13"/>
      <c r="SOU481" s="13"/>
      <c r="SOV481" s="13"/>
      <c r="SOW481" s="13"/>
      <c r="SOX481" s="13"/>
      <c r="SOY481" s="13"/>
      <c r="SOZ481" s="13"/>
      <c r="SPA481" s="13"/>
      <c r="SPB481" s="13"/>
      <c r="SPC481" s="13"/>
      <c r="SPD481" s="13"/>
      <c r="SPE481" s="13"/>
      <c r="SPF481" s="13"/>
      <c r="SPG481" s="13"/>
      <c r="SPH481" s="13"/>
      <c r="SPI481" s="13"/>
      <c r="SPJ481" s="13"/>
      <c r="SPK481" s="13"/>
      <c r="SPL481" s="13"/>
      <c r="SPM481" s="13"/>
      <c r="SPN481" s="13"/>
      <c r="SPO481" s="13"/>
      <c r="SPP481" s="13"/>
      <c r="SPQ481" s="13"/>
      <c r="SPR481" s="13"/>
      <c r="SPS481" s="13"/>
      <c r="SPT481" s="13"/>
      <c r="SPU481" s="13"/>
      <c r="SPV481" s="13"/>
      <c r="SPW481" s="13"/>
      <c r="SPX481" s="13"/>
      <c r="SPY481" s="13"/>
      <c r="SPZ481" s="13"/>
      <c r="SQA481" s="13"/>
      <c r="SQB481" s="13"/>
      <c r="SQC481" s="13"/>
      <c r="SQD481" s="13"/>
      <c r="SQE481" s="13"/>
      <c r="SQF481" s="13"/>
      <c r="SQG481" s="13"/>
      <c r="SQH481" s="13"/>
      <c r="SQI481" s="13"/>
      <c r="SQJ481" s="13"/>
      <c r="SQK481" s="13"/>
      <c r="SQL481" s="13"/>
      <c r="SQM481" s="13"/>
      <c r="SQN481" s="13"/>
      <c r="SQO481" s="13"/>
      <c r="SQP481" s="13"/>
      <c r="SQQ481" s="13"/>
      <c r="SQR481" s="13"/>
      <c r="SQS481" s="13"/>
      <c r="SQT481" s="13"/>
      <c r="SQU481" s="13"/>
      <c r="SQV481" s="13"/>
      <c r="SQW481" s="13"/>
      <c r="SQX481" s="13"/>
      <c r="SQY481" s="13"/>
      <c r="SQZ481" s="13"/>
      <c r="SRA481" s="13"/>
      <c r="SRB481" s="13"/>
      <c r="SRC481" s="13"/>
      <c r="SRD481" s="13"/>
      <c r="SRE481" s="13"/>
      <c r="SRF481" s="13"/>
      <c r="SRG481" s="13"/>
      <c r="SRH481" s="13"/>
      <c r="SRI481" s="13"/>
      <c r="SRJ481" s="13"/>
      <c r="SRK481" s="13"/>
      <c r="SRL481" s="13"/>
      <c r="SRM481" s="13"/>
      <c r="SRN481" s="13"/>
      <c r="SRO481" s="13"/>
      <c r="SRP481" s="13"/>
      <c r="SRQ481" s="13"/>
      <c r="SRR481" s="13"/>
      <c r="SRS481" s="13"/>
      <c r="SRT481" s="13"/>
      <c r="SRU481" s="13"/>
      <c r="SRV481" s="13"/>
      <c r="SRW481" s="13"/>
      <c r="SRX481" s="13"/>
      <c r="SRY481" s="13"/>
      <c r="SRZ481" s="13"/>
      <c r="SSA481" s="13"/>
      <c r="SSB481" s="13"/>
      <c r="SSC481" s="13"/>
      <c r="SSD481" s="13"/>
      <c r="SSE481" s="13"/>
      <c r="SSF481" s="13"/>
      <c r="SSG481" s="13"/>
      <c r="SSH481" s="13"/>
      <c r="SSI481" s="13"/>
      <c r="SSJ481" s="13"/>
      <c r="SSK481" s="13"/>
      <c r="SSL481" s="13"/>
      <c r="SSM481" s="13"/>
      <c r="SSN481" s="13"/>
      <c r="SSO481" s="13"/>
      <c r="SSP481" s="13"/>
      <c r="SSQ481" s="13"/>
      <c r="SSR481" s="13"/>
      <c r="SSS481" s="13"/>
      <c r="SST481" s="13"/>
      <c r="SSU481" s="13"/>
      <c r="SSV481" s="13"/>
      <c r="SSW481" s="13"/>
      <c r="SSX481" s="13"/>
      <c r="SSY481" s="13"/>
      <c r="SSZ481" s="13"/>
      <c r="STA481" s="13"/>
      <c r="STB481" s="13"/>
      <c r="STC481" s="13"/>
      <c r="STD481" s="13"/>
      <c r="STE481" s="13"/>
      <c r="STF481" s="13"/>
      <c r="STG481" s="13"/>
      <c r="STH481" s="13"/>
      <c r="STI481" s="13"/>
      <c r="STJ481" s="13"/>
      <c r="STK481" s="13"/>
      <c r="STL481" s="13"/>
      <c r="STM481" s="13"/>
      <c r="STN481" s="13"/>
      <c r="STO481" s="13"/>
      <c r="STP481" s="13"/>
      <c r="STQ481" s="13"/>
      <c r="STR481" s="13"/>
      <c r="STS481" s="13"/>
      <c r="STT481" s="13"/>
      <c r="STU481" s="13"/>
      <c r="STV481" s="13"/>
      <c r="STW481" s="13"/>
      <c r="STX481" s="13"/>
      <c r="STY481" s="13"/>
      <c r="STZ481" s="13"/>
      <c r="SUA481" s="13"/>
      <c r="SUB481" s="13"/>
      <c r="SUC481" s="13"/>
      <c r="SUD481" s="13"/>
      <c r="SUE481" s="13"/>
      <c r="SUF481" s="13"/>
      <c r="SUG481" s="13"/>
      <c r="SUH481" s="13"/>
      <c r="SUI481" s="13"/>
      <c r="SUJ481" s="13"/>
      <c r="SUK481" s="13"/>
      <c r="SUL481" s="13"/>
      <c r="SUM481" s="13"/>
      <c r="SUN481" s="13"/>
      <c r="SUO481" s="13"/>
      <c r="SUP481" s="13"/>
      <c r="SUQ481" s="13"/>
      <c r="SUR481" s="13"/>
      <c r="SUS481" s="13"/>
      <c r="SUT481" s="13"/>
      <c r="SUU481" s="13"/>
      <c r="SUV481" s="13"/>
      <c r="SUW481" s="13"/>
      <c r="SUX481" s="13"/>
      <c r="SUY481" s="13"/>
      <c r="SUZ481" s="13"/>
      <c r="SVA481" s="13"/>
      <c r="SVB481" s="13"/>
      <c r="SVC481" s="13"/>
      <c r="SVD481" s="13"/>
      <c r="SVE481" s="13"/>
      <c r="SVF481" s="13"/>
      <c r="SVG481" s="13"/>
      <c r="SVH481" s="13"/>
      <c r="SVI481" s="13"/>
      <c r="SVJ481" s="13"/>
      <c r="SVK481" s="13"/>
      <c r="SVL481" s="13"/>
      <c r="SVM481" s="13"/>
      <c r="SVN481" s="13"/>
      <c r="SVO481" s="13"/>
      <c r="SVP481" s="13"/>
      <c r="SVQ481" s="13"/>
      <c r="SVR481" s="13"/>
      <c r="SVS481" s="13"/>
      <c r="SVT481" s="13"/>
      <c r="SVU481" s="13"/>
      <c r="SVV481" s="13"/>
      <c r="SVW481" s="13"/>
      <c r="SVX481" s="13"/>
      <c r="SVY481" s="13"/>
      <c r="SVZ481" s="13"/>
      <c r="SWA481" s="13"/>
      <c r="SWB481" s="13"/>
      <c r="SWC481" s="13"/>
      <c r="SWD481" s="13"/>
      <c r="SWE481" s="13"/>
      <c r="SWF481" s="13"/>
      <c r="SWG481" s="13"/>
      <c r="SWH481" s="13"/>
      <c r="SWI481" s="13"/>
      <c r="SWJ481" s="13"/>
      <c r="SWK481" s="13"/>
      <c r="SWL481" s="13"/>
      <c r="SWM481" s="13"/>
      <c r="SWN481" s="13"/>
      <c r="SWO481" s="13"/>
      <c r="SWP481" s="13"/>
      <c r="SWQ481" s="13"/>
      <c r="SWR481" s="13"/>
      <c r="SWS481" s="13"/>
      <c r="SWT481" s="13"/>
      <c r="SWU481" s="13"/>
      <c r="SWV481" s="13"/>
      <c r="SWW481" s="13"/>
      <c r="SWX481" s="13"/>
      <c r="SWY481" s="13"/>
      <c r="SWZ481" s="13"/>
      <c r="SXA481" s="13"/>
      <c r="SXB481" s="13"/>
      <c r="SXC481" s="13"/>
      <c r="SXD481" s="13"/>
      <c r="SXE481" s="13"/>
      <c r="SXF481" s="13"/>
      <c r="SXG481" s="13"/>
      <c r="SXH481" s="13"/>
      <c r="SXI481" s="13"/>
      <c r="SXJ481" s="13"/>
      <c r="SXK481" s="13"/>
      <c r="SXL481" s="13"/>
      <c r="SXM481" s="13"/>
      <c r="SXN481" s="13"/>
      <c r="SXO481" s="13"/>
      <c r="SXP481" s="13"/>
      <c r="SXQ481" s="13"/>
      <c r="SXR481" s="13"/>
      <c r="SXS481" s="13"/>
      <c r="SXT481" s="13"/>
      <c r="SXU481" s="13"/>
      <c r="SXV481" s="13"/>
      <c r="SXW481" s="13"/>
      <c r="SXX481" s="13"/>
      <c r="SXY481" s="13"/>
      <c r="SXZ481" s="13"/>
      <c r="SYA481" s="13"/>
      <c r="SYB481" s="13"/>
      <c r="SYC481" s="13"/>
      <c r="SYD481" s="13"/>
      <c r="SYE481" s="13"/>
      <c r="SYF481" s="13"/>
      <c r="SYG481" s="13"/>
      <c r="SYH481" s="13"/>
      <c r="SYI481" s="13"/>
      <c r="SYJ481" s="13"/>
      <c r="SYK481" s="13"/>
      <c r="SYL481" s="13"/>
      <c r="SYM481" s="13"/>
      <c r="SYN481" s="13"/>
      <c r="SYO481" s="13"/>
      <c r="SYP481" s="13"/>
      <c r="SYQ481" s="13"/>
      <c r="SYR481" s="13"/>
      <c r="SYS481" s="13"/>
      <c r="SYT481" s="13"/>
      <c r="SYU481" s="13"/>
      <c r="SYV481" s="13"/>
      <c r="SYW481" s="13"/>
      <c r="SYX481" s="13"/>
      <c r="SYY481" s="13"/>
      <c r="SYZ481" s="13"/>
      <c r="SZA481" s="13"/>
      <c r="SZB481" s="13"/>
      <c r="SZC481" s="13"/>
      <c r="SZD481" s="13"/>
      <c r="SZE481" s="13"/>
      <c r="SZF481" s="13"/>
      <c r="SZG481" s="13"/>
      <c r="SZH481" s="13"/>
      <c r="SZI481" s="13"/>
      <c r="SZJ481" s="13"/>
      <c r="SZK481" s="13"/>
      <c r="SZL481" s="13"/>
      <c r="SZM481" s="13"/>
      <c r="SZN481" s="13"/>
      <c r="SZO481" s="13"/>
      <c r="SZP481" s="13"/>
      <c r="SZQ481" s="13"/>
      <c r="SZR481" s="13"/>
      <c r="SZS481" s="13"/>
      <c r="SZT481" s="13"/>
      <c r="SZU481" s="13"/>
      <c r="SZV481" s="13"/>
      <c r="SZW481" s="13"/>
      <c r="SZX481" s="13"/>
      <c r="SZY481" s="13"/>
      <c r="SZZ481" s="13"/>
      <c r="TAA481" s="13"/>
      <c r="TAB481" s="13"/>
      <c r="TAC481" s="13"/>
      <c r="TAD481" s="13"/>
      <c r="TAE481" s="13"/>
      <c r="TAF481" s="13"/>
      <c r="TAG481" s="13"/>
      <c r="TAH481" s="13"/>
      <c r="TAI481" s="13"/>
      <c r="TAJ481" s="13"/>
      <c r="TAK481" s="13"/>
      <c r="TAL481" s="13"/>
      <c r="TAM481" s="13"/>
      <c r="TAN481" s="13"/>
      <c r="TAO481" s="13"/>
      <c r="TAP481" s="13"/>
      <c r="TAQ481" s="13"/>
      <c r="TAR481" s="13"/>
      <c r="TAS481" s="13"/>
      <c r="TAT481" s="13"/>
      <c r="TAU481" s="13"/>
      <c r="TAV481" s="13"/>
      <c r="TAW481" s="13"/>
      <c r="TAX481" s="13"/>
      <c r="TAY481" s="13"/>
      <c r="TAZ481" s="13"/>
      <c r="TBA481" s="13"/>
      <c r="TBB481" s="13"/>
      <c r="TBC481" s="13"/>
      <c r="TBD481" s="13"/>
      <c r="TBE481" s="13"/>
      <c r="TBF481" s="13"/>
      <c r="TBG481" s="13"/>
      <c r="TBH481" s="13"/>
      <c r="TBI481" s="13"/>
      <c r="TBJ481" s="13"/>
      <c r="TBK481" s="13"/>
      <c r="TBL481" s="13"/>
      <c r="TBM481" s="13"/>
      <c r="TBN481" s="13"/>
      <c r="TBO481" s="13"/>
      <c r="TBP481" s="13"/>
      <c r="TBQ481" s="13"/>
      <c r="TBR481" s="13"/>
      <c r="TBS481" s="13"/>
      <c r="TBT481" s="13"/>
      <c r="TBU481" s="13"/>
      <c r="TBV481" s="13"/>
      <c r="TBW481" s="13"/>
      <c r="TBX481" s="13"/>
      <c r="TBY481" s="13"/>
      <c r="TBZ481" s="13"/>
      <c r="TCA481" s="13"/>
      <c r="TCB481" s="13"/>
      <c r="TCC481" s="13"/>
      <c r="TCD481" s="13"/>
      <c r="TCE481" s="13"/>
      <c r="TCF481" s="13"/>
      <c r="TCG481" s="13"/>
      <c r="TCH481" s="13"/>
      <c r="TCI481" s="13"/>
      <c r="TCJ481" s="13"/>
      <c r="TCK481" s="13"/>
      <c r="TCL481" s="13"/>
      <c r="TCM481" s="13"/>
      <c r="TCN481" s="13"/>
      <c r="TCO481" s="13"/>
      <c r="TCP481" s="13"/>
      <c r="TCQ481" s="13"/>
      <c r="TCR481" s="13"/>
      <c r="TCS481" s="13"/>
      <c r="TCT481" s="13"/>
      <c r="TCU481" s="13"/>
      <c r="TCV481" s="13"/>
      <c r="TCW481" s="13"/>
      <c r="TCX481" s="13"/>
      <c r="TCY481" s="13"/>
      <c r="TCZ481" s="13"/>
      <c r="TDA481" s="13"/>
      <c r="TDB481" s="13"/>
      <c r="TDC481" s="13"/>
      <c r="TDD481" s="13"/>
      <c r="TDE481" s="13"/>
      <c r="TDF481" s="13"/>
      <c r="TDG481" s="13"/>
      <c r="TDH481" s="13"/>
      <c r="TDI481" s="13"/>
      <c r="TDJ481" s="13"/>
      <c r="TDK481" s="13"/>
      <c r="TDL481" s="13"/>
      <c r="TDM481" s="13"/>
      <c r="TDN481" s="13"/>
      <c r="TDO481" s="13"/>
      <c r="TDP481" s="13"/>
      <c r="TDQ481" s="13"/>
      <c r="TDR481" s="13"/>
      <c r="TDS481" s="13"/>
      <c r="TDT481" s="13"/>
      <c r="TDU481" s="13"/>
      <c r="TDV481" s="13"/>
      <c r="TDW481" s="13"/>
      <c r="TDX481" s="13"/>
      <c r="TDY481" s="13"/>
      <c r="TDZ481" s="13"/>
      <c r="TEA481" s="13"/>
      <c r="TEB481" s="13"/>
      <c r="TEC481" s="13"/>
      <c r="TED481" s="13"/>
      <c r="TEE481" s="13"/>
      <c r="TEF481" s="13"/>
      <c r="TEG481" s="13"/>
      <c r="TEH481" s="13"/>
      <c r="TEI481" s="13"/>
      <c r="TEJ481" s="13"/>
      <c r="TEK481" s="13"/>
      <c r="TEL481" s="13"/>
      <c r="TEM481" s="13"/>
      <c r="TEN481" s="13"/>
      <c r="TEO481" s="13"/>
      <c r="TEP481" s="13"/>
      <c r="TEQ481" s="13"/>
      <c r="TER481" s="13"/>
      <c r="TES481" s="13"/>
      <c r="TET481" s="13"/>
      <c r="TEU481" s="13"/>
      <c r="TEV481" s="13"/>
      <c r="TEW481" s="13"/>
      <c r="TEX481" s="13"/>
      <c r="TEY481" s="13"/>
      <c r="TEZ481" s="13"/>
      <c r="TFA481" s="13"/>
      <c r="TFB481" s="13"/>
      <c r="TFC481" s="13"/>
      <c r="TFD481" s="13"/>
      <c r="TFE481" s="13"/>
      <c r="TFF481" s="13"/>
      <c r="TFG481" s="13"/>
      <c r="TFH481" s="13"/>
      <c r="TFI481" s="13"/>
      <c r="TFJ481" s="13"/>
      <c r="TFK481" s="13"/>
      <c r="TFL481" s="13"/>
      <c r="TFM481" s="13"/>
      <c r="TFN481" s="13"/>
      <c r="TFO481" s="13"/>
      <c r="TFP481" s="13"/>
      <c r="TFQ481" s="13"/>
      <c r="TFR481" s="13"/>
      <c r="TFS481" s="13"/>
      <c r="TFT481" s="13"/>
      <c r="TFU481" s="13"/>
      <c r="TFV481" s="13"/>
      <c r="TFW481" s="13"/>
      <c r="TFX481" s="13"/>
      <c r="TFY481" s="13"/>
      <c r="TFZ481" s="13"/>
      <c r="TGA481" s="13"/>
      <c r="TGB481" s="13"/>
      <c r="TGC481" s="13"/>
      <c r="TGD481" s="13"/>
      <c r="TGE481" s="13"/>
      <c r="TGF481" s="13"/>
      <c r="TGG481" s="13"/>
      <c r="TGH481" s="13"/>
      <c r="TGI481" s="13"/>
      <c r="TGJ481" s="13"/>
      <c r="TGK481" s="13"/>
      <c r="TGL481" s="13"/>
      <c r="TGM481" s="13"/>
      <c r="TGN481" s="13"/>
      <c r="TGO481" s="13"/>
      <c r="TGP481" s="13"/>
      <c r="TGQ481" s="13"/>
      <c r="TGR481" s="13"/>
      <c r="TGS481" s="13"/>
      <c r="TGT481" s="13"/>
      <c r="TGU481" s="13"/>
      <c r="TGV481" s="13"/>
      <c r="TGW481" s="13"/>
      <c r="TGX481" s="13"/>
      <c r="TGY481" s="13"/>
      <c r="TGZ481" s="13"/>
      <c r="THA481" s="13"/>
      <c r="THB481" s="13"/>
      <c r="THC481" s="13"/>
      <c r="THD481" s="13"/>
      <c r="THE481" s="13"/>
      <c r="THF481" s="13"/>
      <c r="THG481" s="13"/>
      <c r="THH481" s="13"/>
      <c r="THI481" s="13"/>
      <c r="THJ481" s="13"/>
      <c r="THK481" s="13"/>
      <c r="THL481" s="13"/>
      <c r="THM481" s="13"/>
      <c r="THN481" s="13"/>
      <c r="THO481" s="13"/>
      <c r="THP481" s="13"/>
      <c r="THQ481" s="13"/>
      <c r="THR481" s="13"/>
      <c r="THS481" s="13"/>
      <c r="THT481" s="13"/>
      <c r="THU481" s="13"/>
      <c r="THV481" s="13"/>
      <c r="THW481" s="13"/>
      <c r="THX481" s="13"/>
      <c r="THY481" s="13"/>
      <c r="THZ481" s="13"/>
      <c r="TIA481" s="13"/>
      <c r="TIB481" s="13"/>
      <c r="TIC481" s="13"/>
      <c r="TID481" s="13"/>
      <c r="TIE481" s="13"/>
      <c r="TIF481" s="13"/>
      <c r="TIG481" s="13"/>
      <c r="TIH481" s="13"/>
      <c r="TII481" s="13"/>
      <c r="TIJ481" s="13"/>
      <c r="TIK481" s="13"/>
      <c r="TIL481" s="13"/>
      <c r="TIM481" s="13"/>
      <c r="TIN481" s="13"/>
      <c r="TIO481" s="13"/>
      <c r="TIP481" s="13"/>
      <c r="TIQ481" s="13"/>
      <c r="TIR481" s="13"/>
      <c r="TIS481" s="13"/>
      <c r="TIT481" s="13"/>
      <c r="TIU481" s="13"/>
      <c r="TIV481" s="13"/>
      <c r="TIW481" s="13"/>
      <c r="TIX481" s="13"/>
      <c r="TIY481" s="13"/>
      <c r="TIZ481" s="13"/>
      <c r="TJA481" s="13"/>
      <c r="TJB481" s="13"/>
      <c r="TJC481" s="13"/>
      <c r="TJD481" s="13"/>
      <c r="TJE481" s="13"/>
      <c r="TJF481" s="13"/>
      <c r="TJG481" s="13"/>
      <c r="TJH481" s="13"/>
      <c r="TJI481" s="13"/>
      <c r="TJJ481" s="13"/>
      <c r="TJK481" s="13"/>
      <c r="TJL481" s="13"/>
      <c r="TJM481" s="13"/>
      <c r="TJN481" s="13"/>
      <c r="TJO481" s="13"/>
      <c r="TJP481" s="13"/>
      <c r="TJQ481" s="13"/>
      <c r="TJR481" s="13"/>
      <c r="TJS481" s="13"/>
      <c r="TJT481" s="13"/>
      <c r="TJU481" s="13"/>
      <c r="TJV481" s="13"/>
      <c r="TJW481" s="13"/>
      <c r="TJX481" s="13"/>
      <c r="TJY481" s="13"/>
      <c r="TJZ481" s="13"/>
      <c r="TKA481" s="13"/>
      <c r="TKB481" s="13"/>
      <c r="TKC481" s="13"/>
      <c r="TKD481" s="13"/>
      <c r="TKE481" s="13"/>
      <c r="TKF481" s="13"/>
      <c r="TKG481" s="13"/>
      <c r="TKH481" s="13"/>
      <c r="TKI481" s="13"/>
      <c r="TKJ481" s="13"/>
      <c r="TKK481" s="13"/>
      <c r="TKL481" s="13"/>
      <c r="TKM481" s="13"/>
      <c r="TKN481" s="13"/>
      <c r="TKO481" s="13"/>
      <c r="TKP481" s="13"/>
      <c r="TKQ481" s="13"/>
      <c r="TKR481" s="13"/>
      <c r="TKS481" s="13"/>
      <c r="TKT481" s="13"/>
      <c r="TKU481" s="13"/>
      <c r="TKV481" s="13"/>
      <c r="TKW481" s="13"/>
      <c r="TKX481" s="13"/>
      <c r="TKY481" s="13"/>
      <c r="TKZ481" s="13"/>
      <c r="TLA481" s="13"/>
      <c r="TLB481" s="13"/>
      <c r="TLC481" s="13"/>
      <c r="TLD481" s="13"/>
      <c r="TLE481" s="13"/>
      <c r="TLF481" s="13"/>
      <c r="TLG481" s="13"/>
      <c r="TLH481" s="13"/>
      <c r="TLI481" s="13"/>
      <c r="TLJ481" s="13"/>
      <c r="TLK481" s="13"/>
      <c r="TLL481" s="13"/>
      <c r="TLM481" s="13"/>
      <c r="TLN481" s="13"/>
      <c r="TLO481" s="13"/>
      <c r="TLP481" s="13"/>
      <c r="TLQ481" s="13"/>
      <c r="TLR481" s="13"/>
      <c r="TLS481" s="13"/>
      <c r="TLT481" s="13"/>
      <c r="TLU481" s="13"/>
      <c r="TLV481" s="13"/>
      <c r="TLW481" s="13"/>
      <c r="TLX481" s="13"/>
      <c r="TLY481" s="13"/>
      <c r="TLZ481" s="13"/>
      <c r="TMA481" s="13"/>
      <c r="TMB481" s="13"/>
      <c r="TMC481" s="13"/>
      <c r="TMD481" s="13"/>
      <c r="TME481" s="13"/>
      <c r="TMF481" s="13"/>
      <c r="TMG481" s="13"/>
      <c r="TMH481" s="13"/>
      <c r="TMI481" s="13"/>
      <c r="TMJ481" s="13"/>
      <c r="TMK481" s="13"/>
      <c r="TML481" s="13"/>
      <c r="TMM481" s="13"/>
      <c r="TMN481" s="13"/>
      <c r="TMO481" s="13"/>
      <c r="TMP481" s="13"/>
      <c r="TMQ481" s="13"/>
      <c r="TMR481" s="13"/>
      <c r="TMS481" s="13"/>
      <c r="TMT481" s="13"/>
      <c r="TMU481" s="13"/>
      <c r="TMV481" s="13"/>
      <c r="TMW481" s="13"/>
      <c r="TMX481" s="13"/>
      <c r="TMY481" s="13"/>
      <c r="TMZ481" s="13"/>
      <c r="TNA481" s="13"/>
      <c r="TNB481" s="13"/>
      <c r="TNC481" s="13"/>
      <c r="TND481" s="13"/>
      <c r="TNE481" s="13"/>
      <c r="TNF481" s="13"/>
      <c r="TNG481" s="13"/>
      <c r="TNH481" s="13"/>
      <c r="TNI481" s="13"/>
      <c r="TNJ481" s="13"/>
      <c r="TNK481" s="13"/>
      <c r="TNL481" s="13"/>
      <c r="TNM481" s="13"/>
      <c r="TNN481" s="13"/>
      <c r="TNO481" s="13"/>
      <c r="TNP481" s="13"/>
      <c r="TNQ481" s="13"/>
      <c r="TNR481" s="13"/>
      <c r="TNS481" s="13"/>
      <c r="TNT481" s="13"/>
      <c r="TNU481" s="13"/>
      <c r="TNV481" s="13"/>
      <c r="TNW481" s="13"/>
      <c r="TNX481" s="13"/>
      <c r="TNY481" s="13"/>
      <c r="TNZ481" s="13"/>
      <c r="TOA481" s="13"/>
      <c r="TOB481" s="13"/>
      <c r="TOC481" s="13"/>
      <c r="TOD481" s="13"/>
      <c r="TOE481" s="13"/>
      <c r="TOF481" s="13"/>
      <c r="TOG481" s="13"/>
      <c r="TOH481" s="13"/>
      <c r="TOI481" s="13"/>
      <c r="TOJ481" s="13"/>
      <c r="TOK481" s="13"/>
      <c r="TOL481" s="13"/>
      <c r="TOM481" s="13"/>
      <c r="TON481" s="13"/>
      <c r="TOO481" s="13"/>
      <c r="TOP481" s="13"/>
      <c r="TOQ481" s="13"/>
      <c r="TOR481" s="13"/>
      <c r="TOS481" s="13"/>
      <c r="TOT481" s="13"/>
      <c r="TOU481" s="13"/>
      <c r="TOV481" s="13"/>
      <c r="TOW481" s="13"/>
      <c r="TOX481" s="13"/>
      <c r="TOY481" s="13"/>
      <c r="TOZ481" s="13"/>
      <c r="TPA481" s="13"/>
      <c r="TPB481" s="13"/>
      <c r="TPC481" s="13"/>
      <c r="TPD481" s="13"/>
      <c r="TPE481" s="13"/>
      <c r="TPF481" s="13"/>
      <c r="TPG481" s="13"/>
      <c r="TPH481" s="13"/>
      <c r="TPI481" s="13"/>
      <c r="TPJ481" s="13"/>
      <c r="TPK481" s="13"/>
      <c r="TPL481" s="13"/>
      <c r="TPM481" s="13"/>
      <c r="TPN481" s="13"/>
      <c r="TPO481" s="13"/>
      <c r="TPP481" s="13"/>
      <c r="TPQ481" s="13"/>
      <c r="TPR481" s="13"/>
      <c r="TPS481" s="13"/>
      <c r="TPT481" s="13"/>
      <c r="TPU481" s="13"/>
      <c r="TPV481" s="13"/>
      <c r="TPW481" s="13"/>
      <c r="TPX481" s="13"/>
      <c r="TPY481" s="13"/>
      <c r="TPZ481" s="13"/>
      <c r="TQA481" s="13"/>
      <c r="TQB481" s="13"/>
      <c r="TQC481" s="13"/>
      <c r="TQD481" s="13"/>
      <c r="TQE481" s="13"/>
      <c r="TQF481" s="13"/>
      <c r="TQG481" s="13"/>
      <c r="TQH481" s="13"/>
      <c r="TQI481" s="13"/>
      <c r="TQJ481" s="13"/>
      <c r="TQK481" s="13"/>
      <c r="TQL481" s="13"/>
      <c r="TQM481" s="13"/>
      <c r="TQN481" s="13"/>
      <c r="TQO481" s="13"/>
      <c r="TQP481" s="13"/>
      <c r="TQQ481" s="13"/>
      <c r="TQR481" s="13"/>
      <c r="TQS481" s="13"/>
      <c r="TQT481" s="13"/>
      <c r="TQU481" s="13"/>
      <c r="TQV481" s="13"/>
      <c r="TQW481" s="13"/>
      <c r="TQX481" s="13"/>
      <c r="TQY481" s="13"/>
      <c r="TQZ481" s="13"/>
      <c r="TRA481" s="13"/>
      <c r="TRB481" s="13"/>
      <c r="TRC481" s="13"/>
      <c r="TRD481" s="13"/>
      <c r="TRE481" s="13"/>
      <c r="TRF481" s="13"/>
      <c r="TRG481" s="13"/>
      <c r="TRH481" s="13"/>
      <c r="TRI481" s="13"/>
      <c r="TRJ481" s="13"/>
      <c r="TRK481" s="13"/>
      <c r="TRL481" s="13"/>
      <c r="TRM481" s="13"/>
      <c r="TRN481" s="13"/>
      <c r="TRO481" s="13"/>
      <c r="TRP481" s="13"/>
      <c r="TRQ481" s="13"/>
      <c r="TRR481" s="13"/>
      <c r="TRS481" s="13"/>
      <c r="TRT481" s="13"/>
      <c r="TRU481" s="13"/>
      <c r="TRV481" s="13"/>
      <c r="TRW481" s="13"/>
      <c r="TRX481" s="13"/>
      <c r="TRY481" s="13"/>
      <c r="TRZ481" s="13"/>
      <c r="TSA481" s="13"/>
      <c r="TSB481" s="13"/>
      <c r="TSC481" s="13"/>
      <c r="TSD481" s="13"/>
      <c r="TSE481" s="13"/>
      <c r="TSF481" s="13"/>
      <c r="TSG481" s="13"/>
      <c r="TSH481" s="13"/>
      <c r="TSI481" s="13"/>
      <c r="TSJ481" s="13"/>
      <c r="TSK481" s="13"/>
      <c r="TSL481" s="13"/>
      <c r="TSM481" s="13"/>
      <c r="TSN481" s="13"/>
      <c r="TSO481" s="13"/>
      <c r="TSP481" s="13"/>
      <c r="TSQ481" s="13"/>
      <c r="TSR481" s="13"/>
      <c r="TSS481" s="13"/>
      <c r="TST481" s="13"/>
      <c r="TSU481" s="13"/>
      <c r="TSV481" s="13"/>
      <c r="TSW481" s="13"/>
      <c r="TSX481" s="13"/>
      <c r="TSY481" s="13"/>
      <c r="TSZ481" s="13"/>
      <c r="TTA481" s="13"/>
      <c r="TTB481" s="13"/>
      <c r="TTC481" s="13"/>
      <c r="TTD481" s="13"/>
      <c r="TTE481" s="13"/>
      <c r="TTF481" s="13"/>
      <c r="TTG481" s="13"/>
      <c r="TTH481" s="13"/>
      <c r="TTI481" s="13"/>
      <c r="TTJ481" s="13"/>
      <c r="TTK481" s="13"/>
      <c r="TTL481" s="13"/>
      <c r="TTM481" s="13"/>
      <c r="TTN481" s="13"/>
      <c r="TTO481" s="13"/>
      <c r="TTP481" s="13"/>
      <c r="TTQ481" s="13"/>
      <c r="TTR481" s="13"/>
      <c r="TTS481" s="13"/>
      <c r="TTT481" s="13"/>
      <c r="TTU481" s="13"/>
      <c r="TTV481" s="13"/>
      <c r="TTW481" s="13"/>
      <c r="TTX481" s="13"/>
      <c r="TTY481" s="13"/>
      <c r="TTZ481" s="13"/>
      <c r="TUA481" s="13"/>
      <c r="TUB481" s="13"/>
      <c r="TUC481" s="13"/>
      <c r="TUD481" s="13"/>
      <c r="TUE481" s="13"/>
      <c r="TUF481" s="13"/>
      <c r="TUG481" s="13"/>
      <c r="TUH481" s="13"/>
      <c r="TUI481" s="13"/>
      <c r="TUJ481" s="13"/>
      <c r="TUK481" s="13"/>
      <c r="TUL481" s="13"/>
      <c r="TUM481" s="13"/>
      <c r="TUN481" s="13"/>
      <c r="TUO481" s="13"/>
      <c r="TUP481" s="13"/>
      <c r="TUQ481" s="13"/>
      <c r="TUR481" s="13"/>
      <c r="TUS481" s="13"/>
      <c r="TUT481" s="13"/>
      <c r="TUU481" s="13"/>
      <c r="TUV481" s="13"/>
      <c r="TUW481" s="13"/>
      <c r="TUX481" s="13"/>
      <c r="TUY481" s="13"/>
      <c r="TUZ481" s="13"/>
      <c r="TVA481" s="13"/>
      <c r="TVB481" s="13"/>
      <c r="TVC481" s="13"/>
      <c r="TVD481" s="13"/>
      <c r="TVE481" s="13"/>
      <c r="TVF481" s="13"/>
      <c r="TVG481" s="13"/>
      <c r="TVH481" s="13"/>
      <c r="TVI481" s="13"/>
      <c r="TVJ481" s="13"/>
      <c r="TVK481" s="13"/>
      <c r="TVL481" s="13"/>
      <c r="TVM481" s="13"/>
      <c r="TVN481" s="13"/>
      <c r="TVO481" s="13"/>
      <c r="TVP481" s="13"/>
      <c r="TVQ481" s="13"/>
      <c r="TVR481" s="13"/>
      <c r="TVS481" s="13"/>
      <c r="TVT481" s="13"/>
      <c r="TVU481" s="13"/>
      <c r="TVV481" s="13"/>
      <c r="TVW481" s="13"/>
      <c r="TVX481" s="13"/>
      <c r="TVY481" s="13"/>
      <c r="TVZ481" s="13"/>
      <c r="TWA481" s="13"/>
      <c r="TWB481" s="13"/>
      <c r="TWC481" s="13"/>
      <c r="TWD481" s="13"/>
      <c r="TWE481" s="13"/>
      <c r="TWF481" s="13"/>
      <c r="TWG481" s="13"/>
      <c r="TWH481" s="13"/>
      <c r="TWI481" s="13"/>
      <c r="TWJ481" s="13"/>
      <c r="TWK481" s="13"/>
      <c r="TWL481" s="13"/>
      <c r="TWM481" s="13"/>
      <c r="TWN481" s="13"/>
      <c r="TWO481" s="13"/>
      <c r="TWP481" s="13"/>
      <c r="TWQ481" s="13"/>
      <c r="TWR481" s="13"/>
      <c r="TWS481" s="13"/>
      <c r="TWT481" s="13"/>
      <c r="TWU481" s="13"/>
      <c r="TWV481" s="13"/>
      <c r="TWW481" s="13"/>
      <c r="TWX481" s="13"/>
      <c r="TWY481" s="13"/>
      <c r="TWZ481" s="13"/>
      <c r="TXA481" s="13"/>
      <c r="TXB481" s="13"/>
      <c r="TXC481" s="13"/>
      <c r="TXD481" s="13"/>
      <c r="TXE481" s="13"/>
      <c r="TXF481" s="13"/>
      <c r="TXG481" s="13"/>
      <c r="TXH481" s="13"/>
      <c r="TXI481" s="13"/>
      <c r="TXJ481" s="13"/>
      <c r="TXK481" s="13"/>
      <c r="TXL481" s="13"/>
      <c r="TXM481" s="13"/>
      <c r="TXN481" s="13"/>
      <c r="TXO481" s="13"/>
      <c r="TXP481" s="13"/>
      <c r="TXQ481" s="13"/>
      <c r="TXR481" s="13"/>
      <c r="TXS481" s="13"/>
      <c r="TXT481" s="13"/>
      <c r="TXU481" s="13"/>
      <c r="TXV481" s="13"/>
      <c r="TXW481" s="13"/>
      <c r="TXX481" s="13"/>
      <c r="TXY481" s="13"/>
      <c r="TXZ481" s="13"/>
      <c r="TYA481" s="13"/>
      <c r="TYB481" s="13"/>
      <c r="TYC481" s="13"/>
      <c r="TYD481" s="13"/>
      <c r="TYE481" s="13"/>
      <c r="TYF481" s="13"/>
      <c r="TYG481" s="13"/>
      <c r="TYH481" s="13"/>
      <c r="TYI481" s="13"/>
      <c r="TYJ481" s="13"/>
      <c r="TYK481" s="13"/>
      <c r="TYL481" s="13"/>
      <c r="TYM481" s="13"/>
      <c r="TYN481" s="13"/>
      <c r="TYO481" s="13"/>
      <c r="TYP481" s="13"/>
      <c r="TYQ481" s="13"/>
      <c r="TYR481" s="13"/>
      <c r="TYS481" s="13"/>
      <c r="TYT481" s="13"/>
      <c r="TYU481" s="13"/>
      <c r="TYV481" s="13"/>
      <c r="TYW481" s="13"/>
      <c r="TYX481" s="13"/>
      <c r="TYY481" s="13"/>
      <c r="TYZ481" s="13"/>
      <c r="TZA481" s="13"/>
      <c r="TZB481" s="13"/>
      <c r="TZC481" s="13"/>
      <c r="TZD481" s="13"/>
      <c r="TZE481" s="13"/>
      <c r="TZF481" s="13"/>
      <c r="TZG481" s="13"/>
      <c r="TZH481" s="13"/>
      <c r="TZI481" s="13"/>
      <c r="TZJ481" s="13"/>
      <c r="TZK481" s="13"/>
      <c r="TZL481" s="13"/>
      <c r="TZM481" s="13"/>
      <c r="TZN481" s="13"/>
      <c r="TZO481" s="13"/>
      <c r="TZP481" s="13"/>
      <c r="TZQ481" s="13"/>
      <c r="TZR481" s="13"/>
      <c r="TZS481" s="13"/>
      <c r="TZT481" s="13"/>
      <c r="TZU481" s="13"/>
      <c r="TZV481" s="13"/>
      <c r="TZW481" s="13"/>
      <c r="TZX481" s="13"/>
      <c r="TZY481" s="13"/>
      <c r="TZZ481" s="13"/>
      <c r="UAA481" s="13"/>
      <c r="UAB481" s="13"/>
      <c r="UAC481" s="13"/>
      <c r="UAD481" s="13"/>
      <c r="UAE481" s="13"/>
      <c r="UAF481" s="13"/>
      <c r="UAG481" s="13"/>
      <c r="UAH481" s="13"/>
      <c r="UAI481" s="13"/>
      <c r="UAJ481" s="13"/>
      <c r="UAK481" s="13"/>
      <c r="UAL481" s="13"/>
      <c r="UAM481" s="13"/>
      <c r="UAN481" s="13"/>
      <c r="UAO481" s="13"/>
      <c r="UAP481" s="13"/>
      <c r="UAQ481" s="13"/>
      <c r="UAR481" s="13"/>
      <c r="UAS481" s="13"/>
      <c r="UAT481" s="13"/>
      <c r="UAU481" s="13"/>
      <c r="UAV481" s="13"/>
      <c r="UAW481" s="13"/>
      <c r="UAX481" s="13"/>
      <c r="UAY481" s="13"/>
      <c r="UAZ481" s="13"/>
      <c r="UBA481" s="13"/>
      <c r="UBB481" s="13"/>
      <c r="UBC481" s="13"/>
      <c r="UBD481" s="13"/>
      <c r="UBE481" s="13"/>
      <c r="UBF481" s="13"/>
      <c r="UBG481" s="13"/>
      <c r="UBH481" s="13"/>
      <c r="UBI481" s="13"/>
      <c r="UBJ481" s="13"/>
      <c r="UBK481" s="13"/>
      <c r="UBL481" s="13"/>
      <c r="UBM481" s="13"/>
      <c r="UBN481" s="13"/>
      <c r="UBO481" s="13"/>
      <c r="UBP481" s="13"/>
      <c r="UBQ481" s="13"/>
      <c r="UBR481" s="13"/>
      <c r="UBS481" s="13"/>
      <c r="UBT481" s="13"/>
      <c r="UBU481" s="13"/>
      <c r="UBV481" s="13"/>
      <c r="UBW481" s="13"/>
      <c r="UBX481" s="13"/>
      <c r="UBY481" s="13"/>
      <c r="UBZ481" s="13"/>
      <c r="UCA481" s="13"/>
      <c r="UCB481" s="13"/>
      <c r="UCC481" s="13"/>
      <c r="UCD481" s="13"/>
      <c r="UCE481" s="13"/>
      <c r="UCF481" s="13"/>
      <c r="UCG481" s="13"/>
      <c r="UCH481" s="13"/>
      <c r="UCI481" s="13"/>
      <c r="UCJ481" s="13"/>
      <c r="UCK481" s="13"/>
      <c r="UCL481" s="13"/>
      <c r="UCM481" s="13"/>
      <c r="UCN481" s="13"/>
      <c r="UCO481" s="13"/>
      <c r="UCP481" s="13"/>
      <c r="UCQ481" s="13"/>
      <c r="UCR481" s="13"/>
      <c r="UCS481" s="13"/>
      <c r="UCT481" s="13"/>
      <c r="UCU481" s="13"/>
      <c r="UCV481" s="13"/>
      <c r="UCW481" s="13"/>
      <c r="UCX481" s="13"/>
      <c r="UCY481" s="13"/>
      <c r="UCZ481" s="13"/>
      <c r="UDA481" s="13"/>
      <c r="UDB481" s="13"/>
      <c r="UDC481" s="13"/>
      <c r="UDD481" s="13"/>
      <c r="UDE481" s="13"/>
      <c r="UDF481" s="13"/>
      <c r="UDG481" s="13"/>
      <c r="UDH481" s="13"/>
      <c r="UDI481" s="13"/>
      <c r="UDJ481" s="13"/>
      <c r="UDK481" s="13"/>
      <c r="UDL481" s="13"/>
      <c r="UDM481" s="13"/>
      <c r="UDN481" s="13"/>
      <c r="UDO481" s="13"/>
      <c r="UDP481" s="13"/>
      <c r="UDQ481" s="13"/>
      <c r="UDR481" s="13"/>
      <c r="UDS481" s="13"/>
      <c r="UDT481" s="13"/>
      <c r="UDU481" s="13"/>
      <c r="UDV481" s="13"/>
      <c r="UDW481" s="13"/>
      <c r="UDX481" s="13"/>
      <c r="UDY481" s="13"/>
      <c r="UDZ481" s="13"/>
      <c r="UEA481" s="13"/>
      <c r="UEB481" s="13"/>
      <c r="UEC481" s="13"/>
      <c r="UED481" s="13"/>
      <c r="UEE481" s="13"/>
      <c r="UEF481" s="13"/>
      <c r="UEG481" s="13"/>
      <c r="UEH481" s="13"/>
      <c r="UEI481" s="13"/>
      <c r="UEJ481" s="13"/>
      <c r="UEK481" s="13"/>
      <c r="UEL481" s="13"/>
      <c r="UEM481" s="13"/>
      <c r="UEN481" s="13"/>
      <c r="UEO481" s="13"/>
      <c r="UEP481" s="13"/>
      <c r="UEQ481" s="13"/>
      <c r="UER481" s="13"/>
      <c r="UES481" s="13"/>
      <c r="UET481" s="13"/>
      <c r="UEU481" s="13"/>
      <c r="UEV481" s="13"/>
      <c r="UEW481" s="13"/>
      <c r="UEX481" s="13"/>
      <c r="UEY481" s="13"/>
      <c r="UEZ481" s="13"/>
      <c r="UFA481" s="13"/>
      <c r="UFB481" s="13"/>
      <c r="UFC481" s="13"/>
      <c r="UFD481" s="13"/>
      <c r="UFE481" s="13"/>
      <c r="UFF481" s="13"/>
      <c r="UFG481" s="13"/>
      <c r="UFH481" s="13"/>
      <c r="UFI481" s="13"/>
      <c r="UFJ481" s="13"/>
      <c r="UFK481" s="13"/>
      <c r="UFL481" s="13"/>
      <c r="UFM481" s="13"/>
      <c r="UFN481" s="13"/>
      <c r="UFO481" s="13"/>
      <c r="UFP481" s="13"/>
      <c r="UFQ481" s="13"/>
      <c r="UFR481" s="13"/>
      <c r="UFS481" s="13"/>
      <c r="UFT481" s="13"/>
      <c r="UFU481" s="13"/>
      <c r="UFV481" s="13"/>
      <c r="UFW481" s="13"/>
      <c r="UFX481" s="13"/>
      <c r="UFY481" s="13"/>
      <c r="UFZ481" s="13"/>
      <c r="UGA481" s="13"/>
      <c r="UGB481" s="13"/>
      <c r="UGC481" s="13"/>
      <c r="UGD481" s="13"/>
      <c r="UGE481" s="13"/>
      <c r="UGF481" s="13"/>
      <c r="UGG481" s="13"/>
      <c r="UGH481" s="13"/>
      <c r="UGI481" s="13"/>
      <c r="UGJ481" s="13"/>
      <c r="UGK481" s="13"/>
      <c r="UGL481" s="13"/>
      <c r="UGM481" s="13"/>
      <c r="UGN481" s="13"/>
      <c r="UGO481" s="13"/>
      <c r="UGP481" s="13"/>
      <c r="UGQ481" s="13"/>
      <c r="UGR481" s="13"/>
      <c r="UGS481" s="13"/>
      <c r="UGT481" s="13"/>
      <c r="UGU481" s="13"/>
      <c r="UGV481" s="13"/>
      <c r="UGW481" s="13"/>
      <c r="UGX481" s="13"/>
      <c r="UGY481" s="13"/>
      <c r="UGZ481" s="13"/>
      <c r="UHA481" s="13"/>
      <c r="UHB481" s="13"/>
      <c r="UHC481" s="13"/>
      <c r="UHD481" s="13"/>
      <c r="UHE481" s="13"/>
      <c r="UHF481" s="13"/>
      <c r="UHG481" s="13"/>
      <c r="UHH481" s="13"/>
      <c r="UHI481" s="13"/>
      <c r="UHJ481" s="13"/>
      <c r="UHK481" s="13"/>
      <c r="UHL481" s="13"/>
      <c r="UHM481" s="13"/>
      <c r="UHN481" s="13"/>
      <c r="UHO481" s="13"/>
      <c r="UHP481" s="13"/>
      <c r="UHQ481" s="13"/>
      <c r="UHR481" s="13"/>
      <c r="UHS481" s="13"/>
      <c r="UHT481" s="13"/>
      <c r="UHU481" s="13"/>
      <c r="UHV481" s="13"/>
      <c r="UHW481" s="13"/>
      <c r="UHX481" s="13"/>
      <c r="UHY481" s="13"/>
      <c r="UHZ481" s="13"/>
      <c r="UIA481" s="13"/>
      <c r="UIB481" s="13"/>
      <c r="UIC481" s="13"/>
      <c r="UID481" s="13"/>
      <c r="UIE481" s="13"/>
      <c r="UIF481" s="13"/>
      <c r="UIG481" s="13"/>
      <c r="UIH481" s="13"/>
      <c r="UII481" s="13"/>
      <c r="UIJ481" s="13"/>
      <c r="UIK481" s="13"/>
      <c r="UIL481" s="13"/>
      <c r="UIM481" s="13"/>
      <c r="UIN481" s="13"/>
      <c r="UIO481" s="13"/>
      <c r="UIP481" s="13"/>
      <c r="UIQ481" s="13"/>
      <c r="UIR481" s="13"/>
      <c r="UIS481" s="13"/>
      <c r="UIT481" s="13"/>
      <c r="UIU481" s="13"/>
      <c r="UIV481" s="13"/>
      <c r="UIW481" s="13"/>
      <c r="UIX481" s="13"/>
      <c r="UIY481" s="13"/>
      <c r="UIZ481" s="13"/>
      <c r="UJA481" s="13"/>
      <c r="UJB481" s="13"/>
      <c r="UJC481" s="13"/>
      <c r="UJD481" s="13"/>
      <c r="UJE481" s="13"/>
      <c r="UJF481" s="13"/>
      <c r="UJG481" s="13"/>
      <c r="UJH481" s="13"/>
      <c r="UJI481" s="13"/>
      <c r="UJJ481" s="13"/>
      <c r="UJK481" s="13"/>
      <c r="UJL481" s="13"/>
      <c r="UJM481" s="13"/>
      <c r="UJN481" s="13"/>
      <c r="UJO481" s="13"/>
      <c r="UJP481" s="13"/>
      <c r="UJQ481" s="13"/>
      <c r="UJR481" s="13"/>
      <c r="UJS481" s="13"/>
      <c r="UJT481" s="13"/>
      <c r="UJU481" s="13"/>
      <c r="UJV481" s="13"/>
      <c r="UJW481" s="13"/>
      <c r="UJX481" s="13"/>
      <c r="UJY481" s="13"/>
      <c r="UJZ481" s="13"/>
      <c r="UKA481" s="13"/>
      <c r="UKB481" s="13"/>
      <c r="UKC481" s="13"/>
      <c r="UKD481" s="13"/>
      <c r="UKE481" s="13"/>
      <c r="UKF481" s="13"/>
      <c r="UKG481" s="13"/>
      <c r="UKH481" s="13"/>
      <c r="UKI481" s="13"/>
      <c r="UKJ481" s="13"/>
      <c r="UKK481" s="13"/>
      <c r="UKL481" s="13"/>
      <c r="UKM481" s="13"/>
      <c r="UKN481" s="13"/>
      <c r="UKO481" s="13"/>
      <c r="UKP481" s="13"/>
      <c r="UKQ481" s="13"/>
      <c r="UKR481" s="13"/>
      <c r="UKS481" s="13"/>
      <c r="UKT481" s="13"/>
      <c r="UKU481" s="13"/>
      <c r="UKV481" s="13"/>
      <c r="UKW481" s="13"/>
      <c r="UKX481" s="13"/>
      <c r="UKY481" s="13"/>
      <c r="UKZ481" s="13"/>
      <c r="ULA481" s="13"/>
      <c r="ULB481" s="13"/>
      <c r="ULC481" s="13"/>
      <c r="ULD481" s="13"/>
      <c r="ULE481" s="13"/>
      <c r="ULF481" s="13"/>
      <c r="ULG481" s="13"/>
      <c r="ULH481" s="13"/>
      <c r="ULI481" s="13"/>
      <c r="ULJ481" s="13"/>
      <c r="ULK481" s="13"/>
      <c r="ULL481" s="13"/>
      <c r="ULM481" s="13"/>
      <c r="ULN481" s="13"/>
      <c r="ULO481" s="13"/>
      <c r="ULP481" s="13"/>
      <c r="ULQ481" s="13"/>
      <c r="ULR481" s="13"/>
      <c r="ULS481" s="13"/>
      <c r="ULT481" s="13"/>
      <c r="ULU481" s="13"/>
      <c r="ULV481" s="13"/>
      <c r="ULW481" s="13"/>
      <c r="ULX481" s="13"/>
      <c r="ULY481" s="13"/>
      <c r="ULZ481" s="13"/>
      <c r="UMA481" s="13"/>
      <c r="UMB481" s="13"/>
      <c r="UMC481" s="13"/>
      <c r="UMD481" s="13"/>
      <c r="UME481" s="13"/>
      <c r="UMF481" s="13"/>
      <c r="UMG481" s="13"/>
      <c r="UMH481" s="13"/>
      <c r="UMI481" s="13"/>
      <c r="UMJ481" s="13"/>
      <c r="UMK481" s="13"/>
      <c r="UML481" s="13"/>
      <c r="UMM481" s="13"/>
      <c r="UMN481" s="13"/>
      <c r="UMO481" s="13"/>
      <c r="UMP481" s="13"/>
      <c r="UMQ481" s="13"/>
      <c r="UMR481" s="13"/>
      <c r="UMS481" s="13"/>
      <c r="UMT481" s="13"/>
      <c r="UMU481" s="13"/>
      <c r="UMV481" s="13"/>
      <c r="UMW481" s="13"/>
      <c r="UMX481" s="13"/>
      <c r="UMY481" s="13"/>
      <c r="UMZ481" s="13"/>
      <c r="UNA481" s="13"/>
      <c r="UNB481" s="13"/>
      <c r="UNC481" s="13"/>
      <c r="UND481" s="13"/>
      <c r="UNE481" s="13"/>
      <c r="UNF481" s="13"/>
      <c r="UNG481" s="13"/>
      <c r="UNH481" s="13"/>
      <c r="UNI481" s="13"/>
      <c r="UNJ481" s="13"/>
      <c r="UNK481" s="13"/>
      <c r="UNL481" s="13"/>
      <c r="UNM481" s="13"/>
      <c r="UNN481" s="13"/>
      <c r="UNO481" s="13"/>
      <c r="UNP481" s="13"/>
      <c r="UNQ481" s="13"/>
      <c r="UNR481" s="13"/>
      <c r="UNS481" s="13"/>
      <c r="UNT481" s="13"/>
      <c r="UNU481" s="13"/>
      <c r="UNV481" s="13"/>
      <c r="UNW481" s="13"/>
      <c r="UNX481" s="13"/>
      <c r="UNY481" s="13"/>
      <c r="UNZ481" s="13"/>
      <c r="UOA481" s="13"/>
      <c r="UOB481" s="13"/>
      <c r="UOC481" s="13"/>
      <c r="UOD481" s="13"/>
      <c r="UOE481" s="13"/>
      <c r="UOF481" s="13"/>
      <c r="UOG481" s="13"/>
      <c r="UOH481" s="13"/>
      <c r="UOI481" s="13"/>
      <c r="UOJ481" s="13"/>
      <c r="UOK481" s="13"/>
      <c r="UOL481" s="13"/>
      <c r="UOM481" s="13"/>
      <c r="UON481" s="13"/>
      <c r="UOO481" s="13"/>
      <c r="UOP481" s="13"/>
      <c r="UOQ481" s="13"/>
      <c r="UOR481" s="13"/>
      <c r="UOS481" s="13"/>
      <c r="UOT481" s="13"/>
      <c r="UOU481" s="13"/>
      <c r="UOV481" s="13"/>
      <c r="UOW481" s="13"/>
      <c r="UOX481" s="13"/>
      <c r="UOY481" s="13"/>
      <c r="UOZ481" s="13"/>
      <c r="UPA481" s="13"/>
      <c r="UPB481" s="13"/>
      <c r="UPC481" s="13"/>
      <c r="UPD481" s="13"/>
      <c r="UPE481" s="13"/>
      <c r="UPF481" s="13"/>
      <c r="UPG481" s="13"/>
      <c r="UPH481" s="13"/>
      <c r="UPI481" s="13"/>
      <c r="UPJ481" s="13"/>
      <c r="UPK481" s="13"/>
      <c r="UPL481" s="13"/>
      <c r="UPM481" s="13"/>
      <c r="UPN481" s="13"/>
      <c r="UPO481" s="13"/>
      <c r="UPP481" s="13"/>
      <c r="UPQ481" s="13"/>
      <c r="UPR481" s="13"/>
      <c r="UPS481" s="13"/>
      <c r="UPT481" s="13"/>
      <c r="UPU481" s="13"/>
      <c r="UPV481" s="13"/>
      <c r="UPW481" s="13"/>
      <c r="UPX481" s="13"/>
      <c r="UPY481" s="13"/>
      <c r="UPZ481" s="13"/>
      <c r="UQA481" s="13"/>
      <c r="UQB481" s="13"/>
      <c r="UQC481" s="13"/>
      <c r="UQD481" s="13"/>
      <c r="UQE481" s="13"/>
      <c r="UQF481" s="13"/>
      <c r="UQG481" s="13"/>
      <c r="UQH481" s="13"/>
      <c r="UQI481" s="13"/>
      <c r="UQJ481" s="13"/>
      <c r="UQK481" s="13"/>
      <c r="UQL481" s="13"/>
      <c r="UQM481" s="13"/>
      <c r="UQN481" s="13"/>
      <c r="UQO481" s="13"/>
      <c r="UQP481" s="13"/>
      <c r="UQQ481" s="13"/>
      <c r="UQR481" s="13"/>
      <c r="UQS481" s="13"/>
      <c r="UQT481" s="13"/>
      <c r="UQU481" s="13"/>
      <c r="UQV481" s="13"/>
      <c r="UQW481" s="13"/>
      <c r="UQX481" s="13"/>
      <c r="UQY481" s="13"/>
      <c r="UQZ481" s="13"/>
      <c r="URA481" s="13"/>
      <c r="URB481" s="13"/>
      <c r="URC481" s="13"/>
      <c r="URD481" s="13"/>
      <c r="URE481" s="13"/>
      <c r="URF481" s="13"/>
      <c r="URG481" s="13"/>
      <c r="URH481" s="13"/>
      <c r="URI481" s="13"/>
      <c r="URJ481" s="13"/>
      <c r="URK481" s="13"/>
      <c r="URL481" s="13"/>
      <c r="URM481" s="13"/>
      <c r="URN481" s="13"/>
      <c r="URO481" s="13"/>
      <c r="URP481" s="13"/>
      <c r="URQ481" s="13"/>
      <c r="URR481" s="13"/>
      <c r="URS481" s="13"/>
      <c r="URT481" s="13"/>
      <c r="URU481" s="13"/>
      <c r="URV481" s="13"/>
      <c r="URW481" s="13"/>
      <c r="URX481" s="13"/>
      <c r="URY481" s="13"/>
      <c r="URZ481" s="13"/>
      <c r="USA481" s="13"/>
      <c r="USB481" s="13"/>
      <c r="USC481" s="13"/>
      <c r="USD481" s="13"/>
      <c r="USE481" s="13"/>
      <c r="USF481" s="13"/>
      <c r="USG481" s="13"/>
      <c r="USH481" s="13"/>
      <c r="USI481" s="13"/>
      <c r="USJ481" s="13"/>
      <c r="USK481" s="13"/>
      <c r="USL481" s="13"/>
      <c r="USM481" s="13"/>
      <c r="USN481" s="13"/>
      <c r="USO481" s="13"/>
      <c r="USP481" s="13"/>
      <c r="USQ481" s="13"/>
      <c r="USR481" s="13"/>
      <c r="USS481" s="13"/>
      <c r="UST481" s="13"/>
      <c r="USU481" s="13"/>
      <c r="USV481" s="13"/>
      <c r="USW481" s="13"/>
      <c r="USX481" s="13"/>
      <c r="USY481" s="13"/>
      <c r="USZ481" s="13"/>
      <c r="UTA481" s="13"/>
      <c r="UTB481" s="13"/>
      <c r="UTC481" s="13"/>
      <c r="UTD481" s="13"/>
      <c r="UTE481" s="13"/>
      <c r="UTF481" s="13"/>
      <c r="UTG481" s="13"/>
      <c r="UTH481" s="13"/>
      <c r="UTI481" s="13"/>
      <c r="UTJ481" s="13"/>
      <c r="UTK481" s="13"/>
      <c r="UTL481" s="13"/>
      <c r="UTM481" s="13"/>
      <c r="UTN481" s="13"/>
      <c r="UTO481" s="13"/>
      <c r="UTP481" s="13"/>
      <c r="UTQ481" s="13"/>
      <c r="UTR481" s="13"/>
      <c r="UTS481" s="13"/>
      <c r="UTT481" s="13"/>
      <c r="UTU481" s="13"/>
      <c r="UTV481" s="13"/>
      <c r="UTW481" s="13"/>
      <c r="UTX481" s="13"/>
      <c r="UTY481" s="13"/>
      <c r="UTZ481" s="13"/>
      <c r="UUA481" s="13"/>
      <c r="UUB481" s="13"/>
      <c r="UUC481" s="13"/>
      <c r="UUD481" s="13"/>
      <c r="UUE481" s="13"/>
      <c r="UUF481" s="13"/>
      <c r="UUG481" s="13"/>
      <c r="UUH481" s="13"/>
      <c r="UUI481" s="13"/>
      <c r="UUJ481" s="13"/>
      <c r="UUK481" s="13"/>
      <c r="UUL481" s="13"/>
      <c r="UUM481" s="13"/>
      <c r="UUN481" s="13"/>
      <c r="UUO481" s="13"/>
      <c r="UUP481" s="13"/>
      <c r="UUQ481" s="13"/>
      <c r="UUR481" s="13"/>
      <c r="UUS481" s="13"/>
      <c r="UUT481" s="13"/>
      <c r="UUU481" s="13"/>
      <c r="UUV481" s="13"/>
      <c r="UUW481" s="13"/>
      <c r="UUX481" s="13"/>
      <c r="UUY481" s="13"/>
      <c r="UUZ481" s="13"/>
      <c r="UVA481" s="13"/>
      <c r="UVB481" s="13"/>
      <c r="UVC481" s="13"/>
      <c r="UVD481" s="13"/>
      <c r="UVE481" s="13"/>
      <c r="UVF481" s="13"/>
      <c r="UVG481" s="13"/>
      <c r="UVH481" s="13"/>
      <c r="UVI481" s="13"/>
      <c r="UVJ481" s="13"/>
      <c r="UVK481" s="13"/>
      <c r="UVL481" s="13"/>
      <c r="UVM481" s="13"/>
      <c r="UVN481" s="13"/>
      <c r="UVO481" s="13"/>
      <c r="UVP481" s="13"/>
      <c r="UVQ481" s="13"/>
      <c r="UVR481" s="13"/>
      <c r="UVS481" s="13"/>
      <c r="UVT481" s="13"/>
      <c r="UVU481" s="13"/>
      <c r="UVV481" s="13"/>
      <c r="UVW481" s="13"/>
      <c r="UVX481" s="13"/>
      <c r="UVY481" s="13"/>
      <c r="UVZ481" s="13"/>
      <c r="UWA481" s="13"/>
      <c r="UWB481" s="13"/>
      <c r="UWC481" s="13"/>
      <c r="UWD481" s="13"/>
      <c r="UWE481" s="13"/>
      <c r="UWF481" s="13"/>
      <c r="UWG481" s="13"/>
      <c r="UWH481" s="13"/>
      <c r="UWI481" s="13"/>
      <c r="UWJ481" s="13"/>
      <c r="UWK481" s="13"/>
      <c r="UWL481" s="13"/>
      <c r="UWM481" s="13"/>
      <c r="UWN481" s="13"/>
      <c r="UWO481" s="13"/>
      <c r="UWP481" s="13"/>
      <c r="UWQ481" s="13"/>
      <c r="UWR481" s="13"/>
      <c r="UWS481" s="13"/>
      <c r="UWT481" s="13"/>
      <c r="UWU481" s="13"/>
      <c r="UWV481" s="13"/>
      <c r="UWW481" s="13"/>
      <c r="UWX481" s="13"/>
      <c r="UWY481" s="13"/>
      <c r="UWZ481" s="13"/>
      <c r="UXA481" s="13"/>
      <c r="UXB481" s="13"/>
      <c r="UXC481" s="13"/>
      <c r="UXD481" s="13"/>
      <c r="UXE481" s="13"/>
      <c r="UXF481" s="13"/>
      <c r="UXG481" s="13"/>
      <c r="UXH481" s="13"/>
      <c r="UXI481" s="13"/>
      <c r="UXJ481" s="13"/>
      <c r="UXK481" s="13"/>
      <c r="UXL481" s="13"/>
      <c r="UXM481" s="13"/>
      <c r="UXN481" s="13"/>
      <c r="UXO481" s="13"/>
      <c r="UXP481" s="13"/>
      <c r="UXQ481" s="13"/>
      <c r="UXR481" s="13"/>
      <c r="UXS481" s="13"/>
      <c r="UXT481" s="13"/>
      <c r="UXU481" s="13"/>
      <c r="UXV481" s="13"/>
      <c r="UXW481" s="13"/>
      <c r="UXX481" s="13"/>
      <c r="UXY481" s="13"/>
      <c r="UXZ481" s="13"/>
      <c r="UYA481" s="13"/>
      <c r="UYB481" s="13"/>
      <c r="UYC481" s="13"/>
      <c r="UYD481" s="13"/>
      <c r="UYE481" s="13"/>
      <c r="UYF481" s="13"/>
      <c r="UYG481" s="13"/>
      <c r="UYH481" s="13"/>
      <c r="UYI481" s="13"/>
      <c r="UYJ481" s="13"/>
      <c r="UYK481" s="13"/>
      <c r="UYL481" s="13"/>
      <c r="UYM481" s="13"/>
      <c r="UYN481" s="13"/>
      <c r="UYO481" s="13"/>
      <c r="UYP481" s="13"/>
      <c r="UYQ481" s="13"/>
      <c r="UYR481" s="13"/>
      <c r="UYS481" s="13"/>
      <c r="UYT481" s="13"/>
      <c r="UYU481" s="13"/>
      <c r="UYV481" s="13"/>
      <c r="UYW481" s="13"/>
      <c r="UYX481" s="13"/>
      <c r="UYY481" s="13"/>
      <c r="UYZ481" s="13"/>
      <c r="UZA481" s="13"/>
      <c r="UZB481" s="13"/>
      <c r="UZC481" s="13"/>
      <c r="UZD481" s="13"/>
      <c r="UZE481" s="13"/>
      <c r="UZF481" s="13"/>
      <c r="UZG481" s="13"/>
      <c r="UZH481" s="13"/>
      <c r="UZI481" s="13"/>
      <c r="UZJ481" s="13"/>
      <c r="UZK481" s="13"/>
      <c r="UZL481" s="13"/>
      <c r="UZM481" s="13"/>
      <c r="UZN481" s="13"/>
      <c r="UZO481" s="13"/>
      <c r="UZP481" s="13"/>
      <c r="UZQ481" s="13"/>
      <c r="UZR481" s="13"/>
      <c r="UZS481" s="13"/>
      <c r="UZT481" s="13"/>
      <c r="UZU481" s="13"/>
      <c r="UZV481" s="13"/>
      <c r="UZW481" s="13"/>
      <c r="UZX481" s="13"/>
      <c r="UZY481" s="13"/>
      <c r="UZZ481" s="13"/>
      <c r="VAA481" s="13"/>
      <c r="VAB481" s="13"/>
      <c r="VAC481" s="13"/>
      <c r="VAD481" s="13"/>
      <c r="VAE481" s="13"/>
      <c r="VAF481" s="13"/>
      <c r="VAG481" s="13"/>
      <c r="VAH481" s="13"/>
      <c r="VAI481" s="13"/>
      <c r="VAJ481" s="13"/>
      <c r="VAK481" s="13"/>
      <c r="VAL481" s="13"/>
      <c r="VAM481" s="13"/>
      <c r="VAN481" s="13"/>
      <c r="VAO481" s="13"/>
      <c r="VAP481" s="13"/>
      <c r="VAQ481" s="13"/>
      <c r="VAR481" s="13"/>
      <c r="VAS481" s="13"/>
      <c r="VAT481" s="13"/>
      <c r="VAU481" s="13"/>
      <c r="VAV481" s="13"/>
      <c r="VAW481" s="13"/>
      <c r="VAX481" s="13"/>
      <c r="VAY481" s="13"/>
      <c r="VAZ481" s="13"/>
      <c r="VBA481" s="13"/>
      <c r="VBB481" s="13"/>
      <c r="VBC481" s="13"/>
      <c r="VBD481" s="13"/>
      <c r="VBE481" s="13"/>
      <c r="VBF481" s="13"/>
      <c r="VBG481" s="13"/>
      <c r="VBH481" s="13"/>
      <c r="VBI481" s="13"/>
      <c r="VBJ481" s="13"/>
      <c r="VBK481" s="13"/>
      <c r="VBL481" s="13"/>
      <c r="VBM481" s="13"/>
      <c r="VBN481" s="13"/>
      <c r="VBO481" s="13"/>
      <c r="VBP481" s="13"/>
      <c r="VBQ481" s="13"/>
      <c r="VBR481" s="13"/>
      <c r="VBS481" s="13"/>
      <c r="VBT481" s="13"/>
      <c r="VBU481" s="13"/>
      <c r="VBV481" s="13"/>
      <c r="VBW481" s="13"/>
      <c r="VBX481" s="13"/>
      <c r="VBY481" s="13"/>
      <c r="VBZ481" s="13"/>
      <c r="VCA481" s="13"/>
      <c r="VCB481" s="13"/>
      <c r="VCC481" s="13"/>
      <c r="VCD481" s="13"/>
      <c r="VCE481" s="13"/>
      <c r="VCF481" s="13"/>
      <c r="VCG481" s="13"/>
      <c r="VCH481" s="13"/>
      <c r="VCI481" s="13"/>
      <c r="VCJ481" s="13"/>
      <c r="VCK481" s="13"/>
      <c r="VCL481" s="13"/>
      <c r="VCM481" s="13"/>
      <c r="VCN481" s="13"/>
      <c r="VCO481" s="13"/>
      <c r="VCP481" s="13"/>
      <c r="VCQ481" s="13"/>
      <c r="VCR481" s="13"/>
      <c r="VCS481" s="13"/>
      <c r="VCT481" s="13"/>
      <c r="VCU481" s="13"/>
      <c r="VCV481" s="13"/>
      <c r="VCW481" s="13"/>
      <c r="VCX481" s="13"/>
      <c r="VCY481" s="13"/>
      <c r="VCZ481" s="13"/>
      <c r="VDA481" s="13"/>
      <c r="VDB481" s="13"/>
      <c r="VDC481" s="13"/>
      <c r="VDD481" s="13"/>
      <c r="VDE481" s="13"/>
      <c r="VDF481" s="13"/>
      <c r="VDG481" s="13"/>
      <c r="VDH481" s="13"/>
      <c r="VDI481" s="13"/>
      <c r="VDJ481" s="13"/>
      <c r="VDK481" s="13"/>
      <c r="VDL481" s="13"/>
      <c r="VDM481" s="13"/>
      <c r="VDN481" s="13"/>
      <c r="VDO481" s="13"/>
      <c r="VDP481" s="13"/>
      <c r="VDQ481" s="13"/>
      <c r="VDR481" s="13"/>
      <c r="VDS481" s="13"/>
      <c r="VDT481" s="13"/>
      <c r="VDU481" s="13"/>
      <c r="VDV481" s="13"/>
      <c r="VDW481" s="13"/>
      <c r="VDX481" s="13"/>
      <c r="VDY481" s="13"/>
      <c r="VDZ481" s="13"/>
      <c r="VEA481" s="13"/>
      <c r="VEB481" s="13"/>
      <c r="VEC481" s="13"/>
      <c r="VED481" s="13"/>
      <c r="VEE481" s="13"/>
      <c r="VEF481" s="13"/>
      <c r="VEG481" s="13"/>
      <c r="VEH481" s="13"/>
      <c r="VEI481" s="13"/>
      <c r="VEJ481" s="13"/>
      <c r="VEK481" s="13"/>
      <c r="VEL481" s="13"/>
      <c r="VEM481" s="13"/>
      <c r="VEN481" s="13"/>
      <c r="VEO481" s="13"/>
      <c r="VEP481" s="13"/>
      <c r="VEQ481" s="13"/>
      <c r="VER481" s="13"/>
      <c r="VES481" s="13"/>
      <c r="VET481" s="13"/>
      <c r="VEU481" s="13"/>
      <c r="VEV481" s="13"/>
      <c r="VEW481" s="13"/>
      <c r="VEX481" s="13"/>
      <c r="VEY481" s="13"/>
      <c r="VEZ481" s="13"/>
      <c r="VFA481" s="13"/>
      <c r="VFB481" s="13"/>
      <c r="VFC481" s="13"/>
      <c r="VFD481" s="13"/>
      <c r="VFE481" s="13"/>
      <c r="VFF481" s="13"/>
      <c r="VFG481" s="13"/>
      <c r="VFH481" s="13"/>
      <c r="VFI481" s="13"/>
      <c r="VFJ481" s="13"/>
      <c r="VFK481" s="13"/>
      <c r="VFL481" s="13"/>
      <c r="VFM481" s="13"/>
      <c r="VFN481" s="13"/>
      <c r="VFO481" s="13"/>
      <c r="VFP481" s="13"/>
      <c r="VFQ481" s="13"/>
      <c r="VFR481" s="13"/>
      <c r="VFS481" s="13"/>
      <c r="VFT481" s="13"/>
      <c r="VFU481" s="13"/>
      <c r="VFV481" s="13"/>
      <c r="VFW481" s="13"/>
      <c r="VFX481" s="13"/>
      <c r="VFY481" s="13"/>
      <c r="VFZ481" s="13"/>
      <c r="VGA481" s="13"/>
      <c r="VGB481" s="13"/>
      <c r="VGC481" s="13"/>
      <c r="VGD481" s="13"/>
      <c r="VGE481" s="13"/>
      <c r="VGF481" s="13"/>
      <c r="VGG481" s="13"/>
      <c r="VGH481" s="13"/>
      <c r="VGI481" s="13"/>
      <c r="VGJ481" s="13"/>
      <c r="VGK481" s="13"/>
      <c r="VGL481" s="13"/>
      <c r="VGM481" s="13"/>
      <c r="VGN481" s="13"/>
      <c r="VGO481" s="13"/>
      <c r="VGP481" s="13"/>
      <c r="VGQ481" s="13"/>
      <c r="VGR481" s="13"/>
      <c r="VGS481" s="13"/>
      <c r="VGT481" s="13"/>
      <c r="VGU481" s="13"/>
      <c r="VGV481" s="13"/>
      <c r="VGW481" s="13"/>
      <c r="VGX481" s="13"/>
      <c r="VGY481" s="13"/>
      <c r="VGZ481" s="13"/>
      <c r="VHA481" s="13"/>
      <c r="VHB481" s="13"/>
      <c r="VHC481" s="13"/>
      <c r="VHD481" s="13"/>
      <c r="VHE481" s="13"/>
      <c r="VHF481" s="13"/>
      <c r="VHG481" s="13"/>
      <c r="VHH481" s="13"/>
      <c r="VHI481" s="13"/>
      <c r="VHJ481" s="13"/>
      <c r="VHK481" s="13"/>
      <c r="VHL481" s="13"/>
      <c r="VHM481" s="13"/>
      <c r="VHN481" s="13"/>
      <c r="VHO481" s="13"/>
      <c r="VHP481" s="13"/>
      <c r="VHQ481" s="13"/>
      <c r="VHR481" s="13"/>
      <c r="VHS481" s="13"/>
      <c r="VHT481" s="13"/>
      <c r="VHU481" s="13"/>
      <c r="VHV481" s="13"/>
      <c r="VHW481" s="13"/>
      <c r="VHX481" s="13"/>
      <c r="VHY481" s="13"/>
      <c r="VHZ481" s="13"/>
      <c r="VIA481" s="13"/>
      <c r="VIB481" s="13"/>
      <c r="VIC481" s="13"/>
      <c r="VID481" s="13"/>
      <c r="VIE481" s="13"/>
      <c r="VIF481" s="13"/>
      <c r="VIG481" s="13"/>
      <c r="VIH481" s="13"/>
      <c r="VII481" s="13"/>
      <c r="VIJ481" s="13"/>
      <c r="VIK481" s="13"/>
      <c r="VIL481" s="13"/>
      <c r="VIM481" s="13"/>
      <c r="VIN481" s="13"/>
      <c r="VIO481" s="13"/>
      <c r="VIP481" s="13"/>
      <c r="VIQ481" s="13"/>
      <c r="VIR481" s="13"/>
      <c r="VIS481" s="13"/>
      <c r="VIT481" s="13"/>
      <c r="VIU481" s="13"/>
      <c r="VIV481" s="13"/>
      <c r="VIW481" s="13"/>
      <c r="VIX481" s="13"/>
      <c r="VIY481" s="13"/>
      <c r="VIZ481" s="13"/>
      <c r="VJA481" s="13"/>
      <c r="VJB481" s="13"/>
      <c r="VJC481" s="13"/>
      <c r="VJD481" s="13"/>
      <c r="VJE481" s="13"/>
      <c r="VJF481" s="13"/>
      <c r="VJG481" s="13"/>
      <c r="VJH481" s="13"/>
      <c r="VJI481" s="13"/>
      <c r="VJJ481" s="13"/>
      <c r="VJK481" s="13"/>
      <c r="VJL481" s="13"/>
      <c r="VJM481" s="13"/>
      <c r="VJN481" s="13"/>
      <c r="VJO481" s="13"/>
      <c r="VJP481" s="13"/>
      <c r="VJQ481" s="13"/>
      <c r="VJR481" s="13"/>
      <c r="VJS481" s="13"/>
      <c r="VJT481" s="13"/>
      <c r="VJU481" s="13"/>
      <c r="VJV481" s="13"/>
      <c r="VJW481" s="13"/>
      <c r="VJX481" s="13"/>
      <c r="VJY481" s="13"/>
      <c r="VJZ481" s="13"/>
      <c r="VKA481" s="13"/>
      <c r="VKB481" s="13"/>
      <c r="VKC481" s="13"/>
      <c r="VKD481" s="13"/>
      <c r="VKE481" s="13"/>
      <c r="VKF481" s="13"/>
      <c r="VKG481" s="13"/>
      <c r="VKH481" s="13"/>
      <c r="VKI481" s="13"/>
      <c r="VKJ481" s="13"/>
      <c r="VKK481" s="13"/>
      <c r="VKL481" s="13"/>
      <c r="VKM481" s="13"/>
      <c r="VKN481" s="13"/>
      <c r="VKO481" s="13"/>
      <c r="VKP481" s="13"/>
      <c r="VKQ481" s="13"/>
      <c r="VKR481" s="13"/>
      <c r="VKS481" s="13"/>
      <c r="VKT481" s="13"/>
      <c r="VKU481" s="13"/>
      <c r="VKV481" s="13"/>
      <c r="VKW481" s="13"/>
      <c r="VKX481" s="13"/>
      <c r="VKY481" s="13"/>
      <c r="VKZ481" s="13"/>
      <c r="VLA481" s="13"/>
      <c r="VLB481" s="13"/>
      <c r="VLC481" s="13"/>
      <c r="VLD481" s="13"/>
      <c r="VLE481" s="13"/>
      <c r="VLF481" s="13"/>
      <c r="VLG481" s="13"/>
      <c r="VLH481" s="13"/>
      <c r="VLI481" s="13"/>
      <c r="VLJ481" s="13"/>
      <c r="VLK481" s="13"/>
      <c r="VLL481" s="13"/>
      <c r="VLM481" s="13"/>
      <c r="VLN481" s="13"/>
      <c r="VLO481" s="13"/>
      <c r="VLP481" s="13"/>
      <c r="VLQ481" s="13"/>
      <c r="VLR481" s="13"/>
      <c r="VLS481" s="13"/>
      <c r="VLT481" s="13"/>
      <c r="VLU481" s="13"/>
      <c r="VLV481" s="13"/>
      <c r="VLW481" s="13"/>
      <c r="VLX481" s="13"/>
      <c r="VLY481" s="13"/>
      <c r="VLZ481" s="13"/>
      <c r="VMA481" s="13"/>
      <c r="VMB481" s="13"/>
      <c r="VMC481" s="13"/>
      <c r="VMD481" s="13"/>
      <c r="VME481" s="13"/>
      <c r="VMF481" s="13"/>
      <c r="VMG481" s="13"/>
      <c r="VMH481" s="13"/>
      <c r="VMI481" s="13"/>
      <c r="VMJ481" s="13"/>
      <c r="VMK481" s="13"/>
      <c r="VML481" s="13"/>
      <c r="VMM481" s="13"/>
      <c r="VMN481" s="13"/>
      <c r="VMO481" s="13"/>
      <c r="VMP481" s="13"/>
      <c r="VMQ481" s="13"/>
      <c r="VMR481" s="13"/>
      <c r="VMS481" s="13"/>
      <c r="VMT481" s="13"/>
      <c r="VMU481" s="13"/>
      <c r="VMV481" s="13"/>
      <c r="VMW481" s="13"/>
      <c r="VMX481" s="13"/>
      <c r="VMY481" s="13"/>
      <c r="VMZ481" s="13"/>
      <c r="VNA481" s="13"/>
      <c r="VNB481" s="13"/>
      <c r="VNC481" s="13"/>
      <c r="VND481" s="13"/>
      <c r="VNE481" s="13"/>
      <c r="VNF481" s="13"/>
      <c r="VNG481" s="13"/>
      <c r="VNH481" s="13"/>
      <c r="VNI481" s="13"/>
      <c r="VNJ481" s="13"/>
      <c r="VNK481" s="13"/>
      <c r="VNL481" s="13"/>
      <c r="VNM481" s="13"/>
      <c r="VNN481" s="13"/>
      <c r="VNO481" s="13"/>
      <c r="VNP481" s="13"/>
      <c r="VNQ481" s="13"/>
      <c r="VNR481" s="13"/>
      <c r="VNS481" s="13"/>
      <c r="VNT481" s="13"/>
      <c r="VNU481" s="13"/>
      <c r="VNV481" s="13"/>
      <c r="VNW481" s="13"/>
      <c r="VNX481" s="13"/>
      <c r="VNY481" s="13"/>
      <c r="VNZ481" s="13"/>
      <c r="VOA481" s="13"/>
      <c r="VOB481" s="13"/>
      <c r="VOC481" s="13"/>
      <c r="VOD481" s="13"/>
      <c r="VOE481" s="13"/>
      <c r="VOF481" s="13"/>
      <c r="VOG481" s="13"/>
      <c r="VOH481" s="13"/>
      <c r="VOI481" s="13"/>
      <c r="VOJ481" s="13"/>
      <c r="VOK481" s="13"/>
      <c r="VOL481" s="13"/>
      <c r="VOM481" s="13"/>
      <c r="VON481" s="13"/>
      <c r="VOO481" s="13"/>
      <c r="VOP481" s="13"/>
      <c r="VOQ481" s="13"/>
      <c r="VOR481" s="13"/>
      <c r="VOS481" s="13"/>
      <c r="VOT481" s="13"/>
      <c r="VOU481" s="13"/>
      <c r="VOV481" s="13"/>
      <c r="VOW481" s="13"/>
      <c r="VOX481" s="13"/>
      <c r="VOY481" s="13"/>
      <c r="VOZ481" s="13"/>
      <c r="VPA481" s="13"/>
      <c r="VPB481" s="13"/>
      <c r="VPC481" s="13"/>
      <c r="VPD481" s="13"/>
      <c r="VPE481" s="13"/>
      <c r="VPF481" s="13"/>
      <c r="VPG481" s="13"/>
      <c r="VPH481" s="13"/>
      <c r="VPI481" s="13"/>
      <c r="VPJ481" s="13"/>
      <c r="VPK481" s="13"/>
      <c r="VPL481" s="13"/>
      <c r="VPM481" s="13"/>
      <c r="VPN481" s="13"/>
      <c r="VPO481" s="13"/>
      <c r="VPP481" s="13"/>
      <c r="VPQ481" s="13"/>
      <c r="VPR481" s="13"/>
      <c r="VPS481" s="13"/>
      <c r="VPT481" s="13"/>
      <c r="VPU481" s="13"/>
      <c r="VPV481" s="13"/>
      <c r="VPW481" s="13"/>
      <c r="VPX481" s="13"/>
      <c r="VPY481" s="13"/>
      <c r="VPZ481" s="13"/>
      <c r="VQA481" s="13"/>
      <c r="VQB481" s="13"/>
      <c r="VQC481" s="13"/>
      <c r="VQD481" s="13"/>
      <c r="VQE481" s="13"/>
      <c r="VQF481" s="13"/>
      <c r="VQG481" s="13"/>
      <c r="VQH481" s="13"/>
      <c r="VQI481" s="13"/>
      <c r="VQJ481" s="13"/>
      <c r="VQK481" s="13"/>
      <c r="VQL481" s="13"/>
      <c r="VQM481" s="13"/>
      <c r="VQN481" s="13"/>
      <c r="VQO481" s="13"/>
      <c r="VQP481" s="13"/>
      <c r="VQQ481" s="13"/>
      <c r="VQR481" s="13"/>
      <c r="VQS481" s="13"/>
      <c r="VQT481" s="13"/>
      <c r="VQU481" s="13"/>
      <c r="VQV481" s="13"/>
      <c r="VQW481" s="13"/>
      <c r="VQX481" s="13"/>
      <c r="VQY481" s="13"/>
      <c r="VQZ481" s="13"/>
      <c r="VRA481" s="13"/>
      <c r="VRB481" s="13"/>
      <c r="VRC481" s="13"/>
      <c r="VRD481" s="13"/>
      <c r="VRE481" s="13"/>
      <c r="VRF481" s="13"/>
      <c r="VRG481" s="13"/>
      <c r="VRH481" s="13"/>
      <c r="VRI481" s="13"/>
      <c r="VRJ481" s="13"/>
      <c r="VRK481" s="13"/>
      <c r="VRL481" s="13"/>
      <c r="VRM481" s="13"/>
      <c r="VRN481" s="13"/>
      <c r="VRO481" s="13"/>
      <c r="VRP481" s="13"/>
      <c r="VRQ481" s="13"/>
      <c r="VRR481" s="13"/>
      <c r="VRS481" s="13"/>
      <c r="VRT481" s="13"/>
      <c r="VRU481" s="13"/>
      <c r="VRV481" s="13"/>
      <c r="VRW481" s="13"/>
      <c r="VRX481" s="13"/>
      <c r="VRY481" s="13"/>
      <c r="VRZ481" s="13"/>
      <c r="VSA481" s="13"/>
      <c r="VSB481" s="13"/>
      <c r="VSC481" s="13"/>
      <c r="VSD481" s="13"/>
      <c r="VSE481" s="13"/>
      <c r="VSF481" s="13"/>
      <c r="VSG481" s="13"/>
      <c r="VSH481" s="13"/>
      <c r="VSI481" s="13"/>
      <c r="VSJ481" s="13"/>
      <c r="VSK481" s="13"/>
      <c r="VSL481" s="13"/>
      <c r="VSM481" s="13"/>
      <c r="VSN481" s="13"/>
      <c r="VSO481" s="13"/>
      <c r="VSP481" s="13"/>
      <c r="VSQ481" s="13"/>
      <c r="VSR481" s="13"/>
      <c r="VSS481" s="13"/>
      <c r="VST481" s="13"/>
      <c r="VSU481" s="13"/>
      <c r="VSV481" s="13"/>
      <c r="VSW481" s="13"/>
      <c r="VSX481" s="13"/>
      <c r="VSY481" s="13"/>
      <c r="VSZ481" s="13"/>
      <c r="VTA481" s="13"/>
      <c r="VTB481" s="13"/>
      <c r="VTC481" s="13"/>
      <c r="VTD481" s="13"/>
      <c r="VTE481" s="13"/>
      <c r="VTF481" s="13"/>
      <c r="VTG481" s="13"/>
      <c r="VTH481" s="13"/>
      <c r="VTI481" s="13"/>
      <c r="VTJ481" s="13"/>
      <c r="VTK481" s="13"/>
      <c r="VTL481" s="13"/>
      <c r="VTM481" s="13"/>
      <c r="VTN481" s="13"/>
      <c r="VTO481" s="13"/>
      <c r="VTP481" s="13"/>
      <c r="VTQ481" s="13"/>
      <c r="VTR481" s="13"/>
      <c r="VTS481" s="13"/>
      <c r="VTT481" s="13"/>
      <c r="VTU481" s="13"/>
      <c r="VTV481" s="13"/>
      <c r="VTW481" s="13"/>
      <c r="VTX481" s="13"/>
      <c r="VTY481" s="13"/>
      <c r="VTZ481" s="13"/>
      <c r="VUA481" s="13"/>
      <c r="VUB481" s="13"/>
      <c r="VUC481" s="13"/>
      <c r="VUD481" s="13"/>
      <c r="VUE481" s="13"/>
      <c r="VUF481" s="13"/>
      <c r="VUG481" s="13"/>
      <c r="VUH481" s="13"/>
      <c r="VUI481" s="13"/>
      <c r="VUJ481" s="13"/>
      <c r="VUK481" s="13"/>
      <c r="VUL481" s="13"/>
      <c r="VUM481" s="13"/>
      <c r="VUN481" s="13"/>
      <c r="VUO481" s="13"/>
      <c r="VUP481" s="13"/>
      <c r="VUQ481" s="13"/>
      <c r="VUR481" s="13"/>
      <c r="VUS481" s="13"/>
      <c r="VUT481" s="13"/>
      <c r="VUU481" s="13"/>
      <c r="VUV481" s="13"/>
      <c r="VUW481" s="13"/>
      <c r="VUX481" s="13"/>
      <c r="VUY481" s="13"/>
      <c r="VUZ481" s="13"/>
      <c r="VVA481" s="13"/>
      <c r="VVB481" s="13"/>
      <c r="VVC481" s="13"/>
      <c r="VVD481" s="13"/>
      <c r="VVE481" s="13"/>
      <c r="VVF481" s="13"/>
      <c r="VVG481" s="13"/>
      <c r="VVH481" s="13"/>
      <c r="VVI481" s="13"/>
      <c r="VVJ481" s="13"/>
      <c r="VVK481" s="13"/>
      <c r="VVL481" s="13"/>
      <c r="VVM481" s="13"/>
      <c r="VVN481" s="13"/>
      <c r="VVO481" s="13"/>
      <c r="VVP481" s="13"/>
      <c r="VVQ481" s="13"/>
      <c r="VVR481" s="13"/>
      <c r="VVS481" s="13"/>
      <c r="VVT481" s="13"/>
      <c r="VVU481" s="13"/>
      <c r="VVV481" s="13"/>
      <c r="VVW481" s="13"/>
      <c r="VVX481" s="13"/>
      <c r="VVY481" s="13"/>
      <c r="VVZ481" s="13"/>
      <c r="VWA481" s="13"/>
      <c r="VWB481" s="13"/>
      <c r="VWC481" s="13"/>
      <c r="VWD481" s="13"/>
      <c r="VWE481" s="13"/>
      <c r="VWF481" s="13"/>
      <c r="VWG481" s="13"/>
      <c r="VWH481" s="13"/>
      <c r="VWI481" s="13"/>
      <c r="VWJ481" s="13"/>
      <c r="VWK481" s="13"/>
      <c r="VWL481" s="13"/>
      <c r="VWM481" s="13"/>
      <c r="VWN481" s="13"/>
      <c r="VWO481" s="13"/>
      <c r="VWP481" s="13"/>
      <c r="VWQ481" s="13"/>
      <c r="VWR481" s="13"/>
      <c r="VWS481" s="13"/>
      <c r="VWT481" s="13"/>
      <c r="VWU481" s="13"/>
      <c r="VWV481" s="13"/>
      <c r="VWW481" s="13"/>
      <c r="VWX481" s="13"/>
      <c r="VWY481" s="13"/>
      <c r="VWZ481" s="13"/>
      <c r="VXA481" s="13"/>
      <c r="VXB481" s="13"/>
      <c r="VXC481" s="13"/>
      <c r="VXD481" s="13"/>
      <c r="VXE481" s="13"/>
      <c r="VXF481" s="13"/>
      <c r="VXG481" s="13"/>
      <c r="VXH481" s="13"/>
      <c r="VXI481" s="13"/>
      <c r="VXJ481" s="13"/>
      <c r="VXK481" s="13"/>
      <c r="VXL481" s="13"/>
      <c r="VXM481" s="13"/>
      <c r="VXN481" s="13"/>
      <c r="VXO481" s="13"/>
      <c r="VXP481" s="13"/>
      <c r="VXQ481" s="13"/>
      <c r="VXR481" s="13"/>
      <c r="VXS481" s="13"/>
      <c r="VXT481" s="13"/>
      <c r="VXU481" s="13"/>
      <c r="VXV481" s="13"/>
      <c r="VXW481" s="13"/>
      <c r="VXX481" s="13"/>
      <c r="VXY481" s="13"/>
      <c r="VXZ481" s="13"/>
      <c r="VYA481" s="13"/>
      <c r="VYB481" s="13"/>
      <c r="VYC481" s="13"/>
      <c r="VYD481" s="13"/>
      <c r="VYE481" s="13"/>
      <c r="VYF481" s="13"/>
      <c r="VYG481" s="13"/>
      <c r="VYH481" s="13"/>
      <c r="VYI481" s="13"/>
      <c r="VYJ481" s="13"/>
      <c r="VYK481" s="13"/>
      <c r="VYL481" s="13"/>
      <c r="VYM481" s="13"/>
      <c r="VYN481" s="13"/>
      <c r="VYO481" s="13"/>
      <c r="VYP481" s="13"/>
      <c r="VYQ481" s="13"/>
      <c r="VYR481" s="13"/>
      <c r="VYS481" s="13"/>
      <c r="VYT481" s="13"/>
      <c r="VYU481" s="13"/>
      <c r="VYV481" s="13"/>
      <c r="VYW481" s="13"/>
      <c r="VYX481" s="13"/>
      <c r="VYY481" s="13"/>
      <c r="VYZ481" s="13"/>
      <c r="VZA481" s="13"/>
      <c r="VZB481" s="13"/>
      <c r="VZC481" s="13"/>
      <c r="VZD481" s="13"/>
      <c r="VZE481" s="13"/>
      <c r="VZF481" s="13"/>
      <c r="VZG481" s="13"/>
      <c r="VZH481" s="13"/>
      <c r="VZI481" s="13"/>
      <c r="VZJ481" s="13"/>
      <c r="VZK481" s="13"/>
      <c r="VZL481" s="13"/>
      <c r="VZM481" s="13"/>
      <c r="VZN481" s="13"/>
      <c r="VZO481" s="13"/>
      <c r="VZP481" s="13"/>
      <c r="VZQ481" s="13"/>
      <c r="VZR481" s="13"/>
      <c r="VZS481" s="13"/>
      <c r="VZT481" s="13"/>
      <c r="VZU481" s="13"/>
      <c r="VZV481" s="13"/>
      <c r="VZW481" s="13"/>
      <c r="VZX481" s="13"/>
      <c r="VZY481" s="13"/>
      <c r="VZZ481" s="13"/>
      <c r="WAA481" s="13"/>
      <c r="WAB481" s="13"/>
      <c r="WAC481" s="13"/>
      <c r="WAD481" s="13"/>
      <c r="WAE481" s="13"/>
      <c r="WAF481" s="13"/>
      <c r="WAG481" s="13"/>
      <c r="WAH481" s="13"/>
      <c r="WAI481" s="13"/>
      <c r="WAJ481" s="13"/>
      <c r="WAK481" s="13"/>
      <c r="WAL481" s="13"/>
      <c r="WAM481" s="13"/>
      <c r="WAN481" s="13"/>
      <c r="WAO481" s="13"/>
      <c r="WAP481" s="13"/>
      <c r="WAQ481" s="13"/>
      <c r="WAR481" s="13"/>
      <c r="WAS481" s="13"/>
      <c r="WAT481" s="13"/>
      <c r="WAU481" s="13"/>
      <c r="WAV481" s="13"/>
      <c r="WAW481" s="13"/>
      <c r="WAX481" s="13"/>
      <c r="WAY481" s="13"/>
      <c r="WAZ481" s="13"/>
      <c r="WBA481" s="13"/>
      <c r="WBB481" s="13"/>
      <c r="WBC481" s="13"/>
      <c r="WBD481" s="13"/>
      <c r="WBE481" s="13"/>
      <c r="WBF481" s="13"/>
      <c r="WBG481" s="13"/>
      <c r="WBH481" s="13"/>
      <c r="WBI481" s="13"/>
      <c r="WBJ481" s="13"/>
      <c r="WBK481" s="13"/>
      <c r="WBL481" s="13"/>
      <c r="WBM481" s="13"/>
      <c r="WBN481" s="13"/>
      <c r="WBO481" s="13"/>
      <c r="WBP481" s="13"/>
      <c r="WBQ481" s="13"/>
      <c r="WBR481" s="13"/>
      <c r="WBS481" s="13"/>
      <c r="WBT481" s="13"/>
      <c r="WBU481" s="13"/>
      <c r="WBV481" s="13"/>
      <c r="WBW481" s="13"/>
      <c r="WBX481" s="13"/>
      <c r="WBY481" s="13"/>
      <c r="WBZ481" s="13"/>
      <c r="WCA481" s="13"/>
      <c r="WCB481" s="13"/>
      <c r="WCC481" s="13"/>
      <c r="WCD481" s="13"/>
      <c r="WCE481" s="13"/>
      <c r="WCF481" s="13"/>
      <c r="WCG481" s="13"/>
      <c r="WCH481" s="13"/>
      <c r="WCI481" s="13"/>
      <c r="WCJ481" s="13"/>
      <c r="WCK481" s="13"/>
      <c r="WCL481" s="13"/>
      <c r="WCM481" s="13"/>
      <c r="WCN481" s="13"/>
      <c r="WCO481" s="13"/>
      <c r="WCP481" s="13"/>
      <c r="WCQ481" s="13"/>
      <c r="WCR481" s="13"/>
      <c r="WCS481" s="13"/>
      <c r="WCT481" s="13"/>
      <c r="WCU481" s="13"/>
      <c r="WCV481" s="13"/>
      <c r="WCW481" s="13"/>
      <c r="WCX481" s="13"/>
      <c r="WCY481" s="13"/>
      <c r="WCZ481" s="13"/>
      <c r="WDA481" s="13"/>
      <c r="WDB481" s="13"/>
      <c r="WDC481" s="13"/>
      <c r="WDD481" s="13"/>
      <c r="WDE481" s="13"/>
      <c r="WDF481" s="13"/>
      <c r="WDG481" s="13"/>
      <c r="WDH481" s="13"/>
      <c r="WDI481" s="13"/>
      <c r="WDJ481" s="13"/>
      <c r="WDK481" s="13"/>
      <c r="WDL481" s="13"/>
      <c r="WDM481" s="13"/>
      <c r="WDN481" s="13"/>
      <c r="WDO481" s="13"/>
      <c r="WDP481" s="13"/>
      <c r="WDQ481" s="13"/>
      <c r="WDR481" s="13"/>
      <c r="WDS481" s="13"/>
      <c r="WDT481" s="13"/>
      <c r="WDU481" s="13"/>
      <c r="WDV481" s="13"/>
      <c r="WDW481" s="13"/>
      <c r="WDX481" s="13"/>
      <c r="WDY481" s="13"/>
      <c r="WDZ481" s="13"/>
      <c r="WEA481" s="13"/>
      <c r="WEB481" s="13"/>
      <c r="WEC481" s="13"/>
      <c r="WED481" s="13"/>
      <c r="WEE481" s="13"/>
      <c r="WEF481" s="13"/>
      <c r="WEG481" s="13"/>
      <c r="WEH481" s="13"/>
      <c r="WEI481" s="13"/>
      <c r="WEJ481" s="13"/>
      <c r="WEK481" s="13"/>
      <c r="WEL481" s="13"/>
      <c r="WEM481" s="13"/>
      <c r="WEN481" s="13"/>
      <c r="WEO481" s="13"/>
      <c r="WEP481" s="13"/>
      <c r="WEQ481" s="13"/>
      <c r="WER481" s="13"/>
      <c r="WES481" s="13"/>
      <c r="WET481" s="13"/>
      <c r="WEU481" s="13"/>
      <c r="WEV481" s="13"/>
      <c r="WEW481" s="13"/>
      <c r="WEX481" s="13"/>
      <c r="WEY481" s="13"/>
      <c r="WEZ481" s="13"/>
      <c r="WFA481" s="13"/>
      <c r="WFB481" s="13"/>
      <c r="WFC481" s="13"/>
      <c r="WFD481" s="13"/>
      <c r="WFE481" s="13"/>
      <c r="WFF481" s="13"/>
      <c r="WFG481" s="13"/>
      <c r="WFH481" s="13"/>
      <c r="WFI481" s="13"/>
      <c r="WFJ481" s="13"/>
      <c r="WFK481" s="13"/>
      <c r="WFL481" s="13"/>
      <c r="WFM481" s="13"/>
      <c r="WFN481" s="13"/>
      <c r="WFO481" s="13"/>
      <c r="WFP481" s="13"/>
      <c r="WFQ481" s="13"/>
      <c r="WFR481" s="13"/>
      <c r="WFS481" s="13"/>
      <c r="WFT481" s="13"/>
      <c r="WFU481" s="13"/>
      <c r="WFV481" s="13"/>
      <c r="WFW481" s="13"/>
      <c r="WFX481" s="13"/>
      <c r="WFY481" s="13"/>
      <c r="WFZ481" s="13"/>
      <c r="WGA481" s="13"/>
      <c r="WGB481" s="13"/>
      <c r="WGC481" s="13"/>
      <c r="WGD481" s="13"/>
      <c r="WGE481" s="13"/>
      <c r="WGF481" s="13"/>
      <c r="WGG481" s="13"/>
      <c r="WGH481" s="13"/>
      <c r="WGI481" s="13"/>
      <c r="WGJ481" s="13"/>
      <c r="WGK481" s="13"/>
      <c r="WGL481" s="13"/>
      <c r="WGM481" s="13"/>
      <c r="WGN481" s="13"/>
      <c r="WGO481" s="13"/>
      <c r="WGP481" s="13"/>
      <c r="WGQ481" s="13"/>
      <c r="WGR481" s="13"/>
      <c r="WGS481" s="13"/>
      <c r="WGT481" s="13"/>
      <c r="WGU481" s="13"/>
      <c r="WGV481" s="13"/>
      <c r="WGW481" s="13"/>
      <c r="WGX481" s="13"/>
      <c r="WGY481" s="13"/>
      <c r="WGZ481" s="13"/>
      <c r="WHA481" s="13"/>
      <c r="WHB481" s="13"/>
      <c r="WHC481" s="13"/>
      <c r="WHD481" s="13"/>
      <c r="WHE481" s="13"/>
      <c r="WHF481" s="13"/>
      <c r="WHG481" s="13"/>
      <c r="WHH481" s="13"/>
      <c r="WHI481" s="13"/>
      <c r="WHJ481" s="13"/>
      <c r="WHK481" s="13"/>
      <c r="WHL481" s="13"/>
      <c r="WHM481" s="13"/>
      <c r="WHN481" s="13"/>
      <c r="WHO481" s="13"/>
      <c r="WHP481" s="13"/>
      <c r="WHQ481" s="13"/>
      <c r="WHR481" s="13"/>
      <c r="WHS481" s="13"/>
      <c r="WHT481" s="13"/>
      <c r="WHU481" s="13"/>
      <c r="WHV481" s="13"/>
      <c r="WHW481" s="13"/>
      <c r="WHX481" s="13"/>
      <c r="WHY481" s="13"/>
      <c r="WHZ481" s="13"/>
      <c r="WIA481" s="13"/>
      <c r="WIB481" s="13"/>
      <c r="WIC481" s="13"/>
      <c r="WID481" s="13"/>
      <c r="WIE481" s="13"/>
      <c r="WIF481" s="13"/>
      <c r="WIG481" s="13"/>
      <c r="WIH481" s="13"/>
      <c r="WII481" s="13"/>
      <c r="WIJ481" s="13"/>
      <c r="WIK481" s="13"/>
      <c r="WIL481" s="13"/>
      <c r="WIM481" s="13"/>
      <c r="WIN481" s="13"/>
      <c r="WIO481" s="13"/>
      <c r="WIP481" s="13"/>
      <c r="WIQ481" s="13"/>
      <c r="WIR481" s="13"/>
      <c r="WIS481" s="13"/>
      <c r="WIT481" s="13"/>
      <c r="WIU481" s="13"/>
      <c r="WIV481" s="13"/>
      <c r="WIW481" s="13"/>
      <c r="WIX481" s="13"/>
      <c r="WIY481" s="13"/>
      <c r="WIZ481" s="13"/>
      <c r="WJA481" s="13"/>
      <c r="WJB481" s="13"/>
      <c r="WJC481" s="13"/>
      <c r="WJD481" s="13"/>
      <c r="WJE481" s="13"/>
      <c r="WJF481" s="13"/>
      <c r="WJG481" s="13"/>
      <c r="WJH481" s="13"/>
      <c r="WJI481" s="13"/>
      <c r="WJJ481" s="13"/>
      <c r="WJK481" s="13"/>
      <c r="WJL481" s="13"/>
      <c r="WJM481" s="13"/>
      <c r="WJN481" s="13"/>
      <c r="WJO481" s="13"/>
      <c r="WJP481" s="13"/>
      <c r="WJQ481" s="13"/>
      <c r="WJR481" s="13"/>
      <c r="WJS481" s="13"/>
      <c r="WJT481" s="13"/>
      <c r="WJU481" s="13"/>
      <c r="WJV481" s="13"/>
      <c r="WJW481" s="13"/>
      <c r="WJX481" s="13"/>
      <c r="WJY481" s="13"/>
      <c r="WJZ481" s="13"/>
      <c r="WKA481" s="13"/>
      <c r="WKB481" s="13"/>
      <c r="WKC481" s="13"/>
      <c r="WKD481" s="13"/>
      <c r="WKE481" s="13"/>
      <c r="WKF481" s="13"/>
      <c r="WKG481" s="13"/>
      <c r="WKH481" s="13"/>
      <c r="WKI481" s="13"/>
      <c r="WKJ481" s="13"/>
      <c r="WKK481" s="13"/>
      <c r="WKL481" s="13"/>
      <c r="WKM481" s="13"/>
      <c r="WKN481" s="13"/>
      <c r="WKO481" s="13"/>
      <c r="WKP481" s="13"/>
      <c r="WKQ481" s="13"/>
      <c r="WKR481" s="13"/>
      <c r="WKS481" s="13"/>
      <c r="WKT481" s="13"/>
      <c r="WKU481" s="13"/>
      <c r="WKV481" s="13"/>
      <c r="WKW481" s="13"/>
      <c r="WKX481" s="13"/>
      <c r="WKY481" s="13"/>
      <c r="WKZ481" s="13"/>
      <c r="WLA481" s="13"/>
      <c r="WLB481" s="13"/>
      <c r="WLC481" s="13"/>
      <c r="WLD481" s="13"/>
      <c r="WLE481" s="13"/>
      <c r="WLF481" s="13"/>
      <c r="WLG481" s="13"/>
      <c r="WLH481" s="13"/>
      <c r="WLI481" s="13"/>
      <c r="WLJ481" s="13"/>
      <c r="WLK481" s="13"/>
      <c r="WLL481" s="13"/>
      <c r="WLM481" s="13"/>
      <c r="WLN481" s="13"/>
      <c r="WLO481" s="13"/>
      <c r="WLP481" s="13"/>
      <c r="WLQ481" s="13"/>
      <c r="WLR481" s="13"/>
      <c r="WLS481" s="13"/>
      <c r="WLT481" s="13"/>
      <c r="WLU481" s="13"/>
      <c r="WLV481" s="13"/>
      <c r="WLW481" s="13"/>
      <c r="WLX481" s="13"/>
      <c r="WLY481" s="13"/>
      <c r="WLZ481" s="13"/>
      <c r="WMA481" s="13"/>
      <c r="WMB481" s="13"/>
      <c r="WMC481" s="13"/>
      <c r="WMD481" s="13"/>
      <c r="WME481" s="13"/>
      <c r="WMF481" s="13"/>
      <c r="WMG481" s="13"/>
      <c r="WMH481" s="13"/>
      <c r="WMI481" s="13"/>
      <c r="WMJ481" s="13"/>
      <c r="WMK481" s="13"/>
      <c r="WML481" s="13"/>
      <c r="WMM481" s="13"/>
      <c r="WMN481" s="13"/>
      <c r="WMO481" s="13"/>
      <c r="WMP481" s="13"/>
      <c r="WMQ481" s="13"/>
      <c r="WMR481" s="13"/>
      <c r="WMS481" s="13"/>
      <c r="WMT481" s="13"/>
      <c r="WMU481" s="13"/>
      <c r="WMV481" s="13"/>
      <c r="WMW481" s="13"/>
      <c r="WMX481" s="13"/>
      <c r="WMY481" s="13"/>
      <c r="WMZ481" s="13"/>
      <c r="WNA481" s="13"/>
      <c r="WNB481" s="13"/>
      <c r="WNC481" s="13"/>
      <c r="WND481" s="13"/>
      <c r="WNE481" s="13"/>
      <c r="WNF481" s="13"/>
      <c r="WNG481" s="13"/>
      <c r="WNH481" s="13"/>
      <c r="WNI481" s="13"/>
      <c r="WNJ481" s="13"/>
      <c r="WNK481" s="13"/>
      <c r="WNL481" s="13"/>
      <c r="WNM481" s="13"/>
      <c r="WNN481" s="13"/>
      <c r="WNO481" s="13"/>
      <c r="WNP481" s="13"/>
      <c r="WNQ481" s="13"/>
      <c r="WNR481" s="13"/>
      <c r="WNS481" s="13"/>
      <c r="WNT481" s="13"/>
      <c r="WNU481" s="13"/>
      <c r="WNV481" s="13"/>
      <c r="WNW481" s="13"/>
      <c r="WNX481" s="13"/>
      <c r="WNY481" s="13"/>
      <c r="WNZ481" s="13"/>
      <c r="WOA481" s="13"/>
      <c r="WOB481" s="13"/>
      <c r="WOC481" s="13"/>
      <c r="WOD481" s="13"/>
      <c r="WOE481" s="13"/>
      <c r="WOF481" s="13"/>
      <c r="WOG481" s="13"/>
      <c r="WOH481" s="13"/>
      <c r="WOI481" s="13"/>
      <c r="WOJ481" s="13"/>
      <c r="WOK481" s="13"/>
      <c r="WOL481" s="13"/>
      <c r="WOM481" s="13"/>
      <c r="WON481" s="13"/>
      <c r="WOO481" s="13"/>
      <c r="WOP481" s="13"/>
      <c r="WOQ481" s="13"/>
      <c r="WOR481" s="13"/>
      <c r="WOS481" s="13"/>
      <c r="WOT481" s="13"/>
      <c r="WOU481" s="13"/>
      <c r="WOV481" s="13"/>
      <c r="WOW481" s="13"/>
      <c r="WOX481" s="13"/>
      <c r="WOY481" s="13"/>
      <c r="WOZ481" s="13"/>
      <c r="WPA481" s="13"/>
      <c r="WPB481" s="13"/>
      <c r="WPC481" s="13"/>
      <c r="WPD481" s="13"/>
      <c r="WPE481" s="13"/>
      <c r="WPF481" s="13"/>
      <c r="WPG481" s="13"/>
      <c r="WPH481" s="13"/>
      <c r="WPI481" s="13"/>
      <c r="WPJ481" s="13"/>
      <c r="WPK481" s="13"/>
      <c r="WPL481" s="13"/>
      <c r="WPM481" s="13"/>
      <c r="WPN481" s="13"/>
      <c r="WPO481" s="13"/>
      <c r="WPP481" s="13"/>
      <c r="WPQ481" s="13"/>
      <c r="WPR481" s="13"/>
      <c r="WPS481" s="13"/>
      <c r="WPT481" s="13"/>
      <c r="WPU481" s="13"/>
      <c r="WPV481" s="13"/>
      <c r="WPW481" s="13"/>
      <c r="WPX481" s="13"/>
      <c r="WPY481" s="13"/>
      <c r="WPZ481" s="13"/>
      <c r="WQA481" s="13"/>
      <c r="WQB481" s="13"/>
      <c r="WQC481" s="13"/>
      <c r="WQD481" s="13"/>
      <c r="WQE481" s="13"/>
      <c r="WQF481" s="13"/>
      <c r="WQG481" s="13"/>
      <c r="WQH481" s="13"/>
      <c r="WQI481" s="13"/>
      <c r="WQJ481" s="13"/>
      <c r="WQK481" s="13"/>
      <c r="WQL481" s="13"/>
      <c r="WQM481" s="13"/>
      <c r="WQN481" s="13"/>
      <c r="WQO481" s="13"/>
      <c r="WQP481" s="13"/>
      <c r="WQQ481" s="13"/>
      <c r="WQR481" s="13"/>
      <c r="WQS481" s="13"/>
      <c r="WQT481" s="13"/>
      <c r="WQU481" s="13"/>
      <c r="WQV481" s="13"/>
      <c r="WQW481" s="13"/>
      <c r="WQX481" s="13"/>
      <c r="WQY481" s="13"/>
      <c r="WQZ481" s="13"/>
      <c r="WRA481" s="13"/>
      <c r="WRB481" s="13"/>
      <c r="WRC481" s="13"/>
      <c r="WRD481" s="13"/>
      <c r="WRE481" s="13"/>
      <c r="WRF481" s="13"/>
      <c r="WRG481" s="13"/>
      <c r="WRH481" s="13"/>
      <c r="WRI481" s="13"/>
      <c r="WRJ481" s="13"/>
      <c r="WRK481" s="13"/>
      <c r="WRL481" s="13"/>
      <c r="WRM481" s="13"/>
      <c r="WRN481" s="13"/>
      <c r="WRO481" s="13"/>
      <c r="WRP481" s="13"/>
      <c r="WRQ481" s="13"/>
      <c r="WRR481" s="13"/>
      <c r="WRS481" s="13"/>
      <c r="WRT481" s="13"/>
      <c r="WRU481" s="13"/>
      <c r="WRV481" s="13"/>
      <c r="WRW481" s="13"/>
      <c r="WRX481" s="13"/>
      <c r="WRY481" s="13"/>
      <c r="WRZ481" s="13"/>
      <c r="WSA481" s="13"/>
      <c r="WSB481" s="13"/>
      <c r="WSC481" s="13"/>
      <c r="WSD481" s="13"/>
      <c r="WSE481" s="13"/>
      <c r="WSF481" s="13"/>
      <c r="WSG481" s="13"/>
      <c r="WSH481" s="13"/>
      <c r="WSI481" s="13"/>
      <c r="WSJ481" s="13"/>
      <c r="WSK481" s="13"/>
      <c r="WSL481" s="13"/>
      <c r="WSM481" s="13"/>
      <c r="WSN481" s="13"/>
      <c r="WSO481" s="13"/>
      <c r="WSP481" s="13"/>
      <c r="WSQ481" s="13"/>
      <c r="WSR481" s="13"/>
      <c r="WSS481" s="13"/>
      <c r="WST481" s="13"/>
      <c r="WSU481" s="13"/>
      <c r="WSV481" s="13"/>
      <c r="WSW481" s="13"/>
      <c r="WSX481" s="13"/>
      <c r="WSY481" s="13"/>
      <c r="WSZ481" s="13"/>
      <c r="WTA481" s="13"/>
      <c r="WTB481" s="13"/>
      <c r="WTC481" s="13"/>
      <c r="WTD481" s="13"/>
      <c r="WTE481" s="13"/>
      <c r="WTF481" s="13"/>
      <c r="WTG481" s="13"/>
      <c r="WTH481" s="13"/>
      <c r="WTI481" s="13"/>
      <c r="WTJ481" s="13"/>
      <c r="WTK481" s="13"/>
      <c r="WTL481" s="13"/>
      <c r="WTM481" s="13"/>
      <c r="WTN481" s="13"/>
      <c r="WTO481" s="13"/>
      <c r="WTP481" s="13"/>
      <c r="WTQ481" s="13"/>
      <c r="WTR481" s="13"/>
      <c r="WTS481" s="13"/>
      <c r="WTT481" s="13"/>
      <c r="WTU481" s="13"/>
      <c r="WTV481" s="13"/>
      <c r="WTW481" s="13"/>
      <c r="WTX481" s="13"/>
      <c r="WTY481" s="13"/>
      <c r="WTZ481" s="13"/>
      <c r="WUA481" s="13"/>
      <c r="WUB481" s="13"/>
      <c r="WUC481" s="13"/>
      <c r="WUD481" s="13"/>
      <c r="WUE481" s="13"/>
      <c r="WUF481" s="13"/>
      <c r="WUG481" s="13"/>
      <c r="WUH481" s="13"/>
      <c r="WUI481" s="13"/>
      <c r="WUJ481" s="13"/>
      <c r="WUK481" s="13"/>
      <c r="WUL481" s="13"/>
      <c r="WUM481" s="13"/>
      <c r="WUN481" s="13"/>
      <c r="WUO481" s="13"/>
      <c r="WUP481" s="13"/>
      <c r="WUQ481" s="13"/>
      <c r="WUR481" s="13"/>
      <c r="WUS481" s="13"/>
      <c r="WUT481" s="13"/>
      <c r="WUU481" s="13"/>
      <c r="WUV481" s="13"/>
      <c r="WUW481" s="13"/>
      <c r="WUX481" s="13"/>
      <c r="WUY481" s="13"/>
      <c r="WUZ481" s="13"/>
      <c r="WVA481" s="13"/>
      <c r="WVB481" s="13"/>
      <c r="WVC481" s="13"/>
      <c r="WVD481" s="13"/>
      <c r="WVE481" s="13"/>
      <c r="WVF481" s="13"/>
      <c r="WVG481" s="13"/>
      <c r="WVH481" s="13"/>
      <c r="WVI481" s="13"/>
      <c r="WVJ481" s="13"/>
      <c r="WVK481" s="13"/>
      <c r="WVL481" s="13"/>
      <c r="WVM481" s="13"/>
      <c r="WVN481" s="13"/>
      <c r="WVO481" s="13"/>
      <c r="WVP481" s="13"/>
      <c r="WVQ481" s="13"/>
      <c r="WVR481" s="13"/>
      <c r="WVS481" s="13"/>
      <c r="WVT481" s="13"/>
      <c r="WVU481" s="13"/>
      <c r="WVV481" s="13"/>
      <c r="WVW481" s="13"/>
      <c r="WVX481" s="13"/>
      <c r="WVY481" s="13"/>
      <c r="WVZ481" s="13"/>
      <c r="WWA481" s="13"/>
      <c r="WWB481" s="13"/>
      <c r="WWC481" s="13"/>
      <c r="WWD481" s="13"/>
      <c r="WWE481" s="13"/>
      <c r="WWF481" s="13"/>
      <c r="WWG481" s="13"/>
      <c r="WWH481" s="13"/>
      <c r="WWI481" s="13"/>
      <c r="WWJ481" s="13"/>
      <c r="WWK481" s="13"/>
      <c r="WWL481" s="13"/>
      <c r="WWM481" s="13"/>
      <c r="WWN481" s="13"/>
      <c r="WWO481" s="13"/>
      <c r="WWP481" s="13"/>
      <c r="WWQ481" s="13"/>
      <c r="WWR481" s="13"/>
      <c r="WWS481" s="13"/>
      <c r="WWT481" s="13"/>
      <c r="WWU481" s="13"/>
      <c r="WWV481" s="13"/>
      <c r="WWW481" s="13"/>
      <c r="WWX481" s="13"/>
      <c r="WWY481" s="13"/>
      <c r="WWZ481" s="13"/>
      <c r="WXA481" s="13"/>
      <c r="WXB481" s="13"/>
      <c r="WXC481" s="13"/>
      <c r="WXD481" s="13"/>
      <c r="WXE481" s="13"/>
      <c r="WXF481" s="13"/>
      <c r="WXG481" s="13"/>
      <c r="WXH481" s="13"/>
      <c r="WXI481" s="13"/>
      <c r="WXJ481" s="13"/>
      <c r="WXK481" s="13"/>
      <c r="WXL481" s="13"/>
      <c r="WXM481" s="13"/>
      <c r="WXN481" s="13"/>
      <c r="WXO481" s="13"/>
      <c r="WXP481" s="13"/>
      <c r="WXQ481" s="13"/>
      <c r="WXR481" s="13"/>
      <c r="WXS481" s="13"/>
      <c r="WXT481" s="13"/>
      <c r="WXU481" s="13"/>
      <c r="WXV481" s="13"/>
      <c r="WXW481" s="13"/>
      <c r="WXX481" s="13"/>
      <c r="WXY481" s="13"/>
      <c r="WXZ481" s="13"/>
      <c r="WYA481" s="13"/>
      <c r="WYB481" s="13"/>
      <c r="WYC481" s="13"/>
      <c r="WYD481" s="13"/>
      <c r="WYE481" s="13"/>
      <c r="WYF481" s="13"/>
      <c r="WYG481" s="13"/>
      <c r="WYH481" s="13"/>
      <c r="WYI481" s="13"/>
      <c r="WYJ481" s="13"/>
      <c r="WYK481" s="13"/>
      <c r="WYL481" s="13"/>
      <c r="WYM481" s="13"/>
      <c r="WYN481" s="13"/>
      <c r="WYO481" s="13"/>
      <c r="WYP481" s="13"/>
      <c r="WYQ481" s="13"/>
      <c r="WYR481" s="13"/>
      <c r="WYS481" s="13"/>
      <c r="WYT481" s="13"/>
      <c r="WYU481" s="13"/>
      <c r="WYV481" s="13"/>
      <c r="WYW481" s="13"/>
      <c r="WYX481" s="13"/>
      <c r="WYY481" s="13"/>
      <c r="WYZ481" s="13"/>
      <c r="WZA481" s="13"/>
      <c r="WZB481" s="13"/>
      <c r="WZC481" s="13"/>
      <c r="WZD481" s="13"/>
      <c r="WZE481" s="13"/>
      <c r="WZF481" s="13"/>
      <c r="WZG481" s="13"/>
      <c r="WZH481" s="13"/>
      <c r="WZI481" s="13"/>
      <c r="WZJ481" s="13"/>
      <c r="WZK481" s="13"/>
      <c r="WZL481" s="13"/>
      <c r="WZM481" s="13"/>
      <c r="WZN481" s="13"/>
      <c r="WZO481" s="13"/>
      <c r="WZP481" s="13"/>
      <c r="WZQ481" s="13"/>
      <c r="WZR481" s="13"/>
      <c r="WZS481" s="13"/>
      <c r="WZT481" s="13"/>
      <c r="WZU481" s="13"/>
      <c r="WZV481" s="13"/>
      <c r="WZW481" s="13"/>
      <c r="WZX481" s="13"/>
      <c r="WZY481" s="13"/>
      <c r="WZZ481" s="13"/>
      <c r="XAA481" s="13"/>
      <c r="XAB481" s="13"/>
      <c r="XAC481" s="13"/>
      <c r="XAD481" s="13"/>
      <c r="XAE481" s="13"/>
      <c r="XAF481" s="13"/>
      <c r="XAG481" s="13"/>
      <c r="XAH481" s="13"/>
      <c r="XAI481" s="13"/>
      <c r="XAJ481" s="13"/>
      <c r="XAK481" s="13"/>
      <c r="XAL481" s="13"/>
      <c r="XAM481" s="13"/>
      <c r="XAN481" s="13"/>
      <c r="XAO481" s="13"/>
      <c r="XAP481" s="13"/>
      <c r="XAQ481" s="13"/>
      <c r="XAR481" s="13"/>
      <c r="XAS481" s="13"/>
      <c r="XAT481" s="13"/>
      <c r="XAU481" s="13"/>
      <c r="XAV481" s="13"/>
      <c r="XAW481" s="13"/>
      <c r="XAX481" s="13"/>
      <c r="XAY481" s="13"/>
      <c r="XAZ481" s="13"/>
      <c r="XBA481" s="13"/>
      <c r="XBB481" s="13"/>
      <c r="XBC481" s="13"/>
      <c r="XBD481" s="13"/>
      <c r="XBE481" s="13"/>
      <c r="XBF481" s="13"/>
      <c r="XBG481" s="13"/>
      <c r="XBH481" s="13"/>
      <c r="XBI481" s="13"/>
      <c r="XBJ481" s="13"/>
      <c r="XBK481" s="13"/>
      <c r="XBL481" s="13"/>
      <c r="XBM481" s="13"/>
      <c r="XBN481" s="13"/>
      <c r="XBO481" s="13"/>
      <c r="XBP481" s="13"/>
      <c r="XBQ481" s="13"/>
      <c r="XBR481" s="13"/>
      <c r="XBS481" s="13"/>
      <c r="XBT481" s="13"/>
      <c r="XBU481" s="13"/>
      <c r="XBV481" s="13"/>
      <c r="XBW481" s="13"/>
      <c r="XBX481" s="13"/>
      <c r="XBY481" s="13"/>
      <c r="XBZ481" s="13"/>
      <c r="XCA481" s="13"/>
      <c r="XCB481" s="13"/>
      <c r="XCC481" s="13"/>
      <c r="XCD481" s="13"/>
      <c r="XCE481" s="13"/>
      <c r="XCF481" s="13"/>
      <c r="XCG481" s="13"/>
      <c r="XCH481" s="13"/>
      <c r="XCI481" s="13"/>
      <c r="XCJ481" s="13"/>
      <c r="XCK481" s="13"/>
      <c r="XCL481" s="13"/>
      <c r="XCM481" s="13"/>
      <c r="XCN481" s="13"/>
      <c r="XCO481" s="13"/>
      <c r="XCP481" s="13"/>
      <c r="XCQ481" s="13"/>
      <c r="XCR481" s="13"/>
      <c r="XCS481" s="13"/>
      <c r="XCT481" s="13"/>
      <c r="XCU481" s="13"/>
      <c r="XCV481" s="13"/>
      <c r="XCW481" s="13"/>
      <c r="XCX481" s="13"/>
      <c r="XCY481" s="13"/>
      <c r="XCZ481" s="13"/>
      <c r="XDA481" s="13"/>
      <c r="XDB481" s="13"/>
      <c r="XDC481" s="13"/>
      <c r="XDD481" s="13"/>
      <c r="XDE481" s="13"/>
      <c r="XDF481" s="13"/>
      <c r="XDG481" s="13"/>
      <c r="XDH481" s="13"/>
      <c r="XDI481" s="13"/>
      <c r="XDJ481" s="13"/>
      <c r="XDK481" s="13"/>
      <c r="XDL481" s="13"/>
      <c r="XDM481" s="13"/>
      <c r="XDN481" s="13"/>
      <c r="XDO481" s="13"/>
      <c r="XDP481" s="13"/>
      <c r="XDQ481" s="13"/>
      <c r="XDR481" s="13"/>
      <c r="XDS481" s="13"/>
      <c r="XDT481" s="13"/>
      <c r="XDU481" s="13"/>
      <c r="XDV481" s="13"/>
      <c r="XDW481" s="13"/>
      <c r="XDX481" s="13"/>
      <c r="XDY481" s="13"/>
      <c r="XDZ481" s="13"/>
      <c r="XEA481" s="13"/>
      <c r="XEB481" s="13"/>
      <c r="XEC481" s="13"/>
      <c r="XED481" s="13"/>
      <c r="XEE481" s="13"/>
      <c r="XEF481" s="13"/>
      <c r="XEG481" s="13"/>
      <c r="XEH481" s="13"/>
      <c r="XEI481" s="13"/>
      <c r="XEJ481" s="13"/>
      <c r="XEK481" s="13"/>
      <c r="XEL481" s="13"/>
      <c r="XEM481" s="13"/>
      <c r="XEN481" s="13"/>
      <c r="XEO481" s="13"/>
      <c r="XEP481" s="13"/>
      <c r="XEQ481" s="13"/>
      <c r="XER481" s="13"/>
      <c r="XES481" s="13"/>
      <c r="XET481" s="13"/>
      <c r="XEU481" s="13"/>
      <c r="XEV481" s="13"/>
      <c r="XEW481" s="13"/>
      <c r="XEX481" s="13"/>
      <c r="XEY481" s="13"/>
      <c r="XEZ481" s="13"/>
      <c r="XFA481" s="13"/>
      <c r="XFB481" s="13"/>
      <c r="XFC481" s="13"/>
      <c r="XFD481" s="13"/>
    </row>
    <row r="482" spans="1:16384" x14ac:dyDescent="0.25">
      <c r="B482" s="18" t="s">
        <v>10</v>
      </c>
      <c r="C482" s="19"/>
      <c r="D482" s="20"/>
      <c r="E482" t="s">
        <v>11</v>
      </c>
      <c r="H482" t="s">
        <v>34</v>
      </c>
      <c r="L482" s="21">
        <v>41740</v>
      </c>
    </row>
    <row r="483" spans="1:16384" x14ac:dyDescent="0.25">
      <c r="B483" s="18"/>
      <c r="C483" s="19"/>
      <c r="D483" s="20"/>
      <c r="F483" s="310" t="s">
        <v>35</v>
      </c>
      <c r="G483" s="311"/>
      <c r="H483" s="312">
        <v>4.66</v>
      </c>
      <c r="I483" s="311" t="s">
        <v>36</v>
      </c>
      <c r="K483" t="s">
        <v>421</v>
      </c>
    </row>
    <row r="484" spans="1:16384" x14ac:dyDescent="0.25">
      <c r="B484" s="18" t="s">
        <v>12</v>
      </c>
      <c r="C484" s="253">
        <v>2.56</v>
      </c>
      <c r="D484" s="20"/>
      <c r="F484" s="329" t="s">
        <v>419</v>
      </c>
      <c r="G484" s="329"/>
      <c r="H484" s="330">
        <v>4.34</v>
      </c>
      <c r="I484" s="318" t="s">
        <v>7</v>
      </c>
      <c r="K484" s="23" t="s">
        <v>422</v>
      </c>
      <c r="L484" s="523">
        <f>H483/H484</f>
        <v>1.0737327188940093</v>
      </c>
    </row>
    <row r="485" spans="1:16384" x14ac:dyDescent="0.25">
      <c r="B485" s="18" t="s">
        <v>350</v>
      </c>
      <c r="C485" s="253">
        <v>1.04</v>
      </c>
      <c r="D485" s="20"/>
      <c r="F485" s="23" t="s">
        <v>419</v>
      </c>
      <c r="H485">
        <v>16.03</v>
      </c>
      <c r="I485" t="s">
        <v>356</v>
      </c>
    </row>
    <row r="486" spans="1:16384" x14ac:dyDescent="0.25">
      <c r="B486" s="18" t="s">
        <v>351</v>
      </c>
      <c r="C486" s="253">
        <v>3.34</v>
      </c>
      <c r="D486" s="20"/>
      <c r="F486" s="23" t="s">
        <v>420</v>
      </c>
      <c r="H486">
        <v>5.33</v>
      </c>
      <c r="I486" t="s">
        <v>361</v>
      </c>
    </row>
    <row r="487" spans="1:16384" hidden="1" x14ac:dyDescent="0.25">
      <c r="A487" s="33" t="s">
        <v>44</v>
      </c>
      <c r="B487" s="36"/>
      <c r="C487" s="37"/>
      <c r="D487" s="38"/>
      <c r="E487" s="39"/>
      <c r="F487" s="40" t="s">
        <v>15</v>
      </c>
      <c r="G487" s="40" t="s">
        <v>38</v>
      </c>
      <c r="H487" s="40" t="s">
        <v>16</v>
      </c>
      <c r="I487" s="40" t="s">
        <v>17</v>
      </c>
      <c r="J487" s="40" t="s">
        <v>39</v>
      </c>
      <c r="K487" s="40" t="s">
        <v>18</v>
      </c>
      <c r="L487" s="40" t="s">
        <v>19</v>
      </c>
      <c r="M487" s="40" t="s">
        <v>20</v>
      </c>
      <c r="N487" s="40" t="s">
        <v>40</v>
      </c>
      <c r="O487" s="40" t="s">
        <v>41</v>
      </c>
      <c r="P487" s="40" t="s">
        <v>43</v>
      </c>
      <c r="Q487" s="39"/>
      <c r="R487" s="39"/>
    </row>
    <row r="488" spans="1:16384" hidden="1" x14ac:dyDescent="0.25">
      <c r="A488" s="41" t="s">
        <v>29</v>
      </c>
      <c r="B488" s="42" t="s">
        <v>21</v>
      </c>
      <c r="C488" s="43" t="s">
        <v>22</v>
      </c>
      <c r="D488" s="43" t="s">
        <v>23</v>
      </c>
      <c r="E488" s="43" t="s">
        <v>24</v>
      </c>
      <c r="F488" s="44" t="s">
        <v>14</v>
      </c>
      <c r="G488" s="44" t="s">
        <v>42</v>
      </c>
      <c r="H488" s="44" t="s">
        <v>14</v>
      </c>
      <c r="I488" s="44" t="s">
        <v>14</v>
      </c>
      <c r="J488" s="44" t="s">
        <v>42</v>
      </c>
      <c r="K488" s="44" t="s">
        <v>14</v>
      </c>
      <c r="L488" s="44" t="s">
        <v>25</v>
      </c>
      <c r="M488" s="44" t="s">
        <v>25</v>
      </c>
      <c r="N488" s="44" t="s">
        <v>25</v>
      </c>
      <c r="O488" s="44" t="s">
        <v>25</v>
      </c>
      <c r="P488" s="45"/>
      <c r="Q488" s="45"/>
      <c r="R488" s="45"/>
    </row>
    <row r="489" spans="1:16384" hidden="1" x14ac:dyDescent="0.25">
      <c r="B489" s="24">
        <v>41438</v>
      </c>
      <c r="C489" s="20">
        <v>10</v>
      </c>
      <c r="D489" s="20">
        <f>C489</f>
        <v>10</v>
      </c>
      <c r="E489" s="25">
        <f>(B490-B489)/365</f>
        <v>0.50136986301369868</v>
      </c>
      <c r="F489" s="27">
        <f t="shared" ref="F489:F511" si="31">D489*E489*H$514/H$484</f>
        <v>41588.283567956576</v>
      </c>
      <c r="G489" s="27">
        <f t="shared" ref="G489:G511" si="32">F489*131.73*0.0546*1000/907200+D489*E489*H$514*1.966/907200*21+D489*E489*H$514*0.175/907200*310</f>
        <v>348.72748732192838</v>
      </c>
      <c r="H489" s="26">
        <f t="shared" ref="H489:H511" si="33">F489*C$485</f>
        <v>43251.814910674839</v>
      </c>
      <c r="I489" s="27">
        <f t="shared" ref="I489:I511" si="34">D489*E489*H$514/H$483</f>
        <v>38732.435769298609</v>
      </c>
      <c r="J489" s="27">
        <f t="shared" ref="J489:J511" si="35">I489*10.21*1000/907200+D489*E489*H$514*0.0051/907200*21+D489*E489*H$514*0.0048/907200*310</f>
        <v>436.2280355260101</v>
      </c>
      <c r="K489" s="26">
        <f t="shared" ref="K489:K511" si="36">I489*C$484</f>
        <v>99155.035569404441</v>
      </c>
      <c r="L489" s="2">
        <f>K489-F489</f>
        <v>57566.752001447865</v>
      </c>
      <c r="M489" s="2">
        <f>L489</f>
        <v>57566.752001447865</v>
      </c>
      <c r="N489" s="29">
        <f t="shared" ref="N489:N511" si="37">J489-G489</f>
        <v>87.500548204081724</v>
      </c>
      <c r="O489" s="30">
        <f>N489</f>
        <v>87.500548204081724</v>
      </c>
      <c r="P489" s="2">
        <f t="shared" ref="P489:P510" si="38">L489/D489</f>
        <v>5756.6752001447867</v>
      </c>
    </row>
    <row r="490" spans="1:16384" hidden="1" x14ac:dyDescent="0.25">
      <c r="B490" s="24">
        <v>41621</v>
      </c>
      <c r="C490" s="20">
        <v>14</v>
      </c>
      <c r="D490" s="20">
        <f>D489+C490</f>
        <v>24</v>
      </c>
      <c r="E490" s="25">
        <f t="shared" ref="E490:E511" si="39">(B491-B490)/365</f>
        <v>0.50136986301369868</v>
      </c>
      <c r="F490" s="27">
        <f t="shared" si="31"/>
        <v>99811.88056309578</v>
      </c>
      <c r="G490" s="27">
        <f t="shared" si="32"/>
        <v>836.9459695726282</v>
      </c>
      <c r="H490" s="26">
        <f t="shared" si="33"/>
        <v>103804.35578561961</v>
      </c>
      <c r="I490" s="27">
        <f t="shared" si="34"/>
        <v>92957.845846316661</v>
      </c>
      <c r="J490" s="27">
        <f t="shared" si="35"/>
        <v>1046.9472852624244</v>
      </c>
      <c r="K490" s="26">
        <f t="shared" si="36"/>
        <v>237972.08536657065</v>
      </c>
      <c r="L490" s="2">
        <f t="shared" ref="L490:L511" si="40">K490-F490</f>
        <v>138160.20480347489</v>
      </c>
      <c r="M490" s="2">
        <f t="shared" ref="M490:M511" si="41">M489+L490</f>
        <v>195726.95680492275</v>
      </c>
      <c r="N490" s="29">
        <f t="shared" si="37"/>
        <v>210.00131568979623</v>
      </c>
      <c r="O490" s="30">
        <f>O489+N490</f>
        <v>297.50186389387795</v>
      </c>
      <c r="P490" s="2">
        <f t="shared" si="38"/>
        <v>5756.6752001447867</v>
      </c>
    </row>
    <row r="491" spans="1:16384" hidden="1" x14ac:dyDescent="0.25">
      <c r="B491" s="24">
        <v>41804</v>
      </c>
      <c r="C491" s="20">
        <v>0</v>
      </c>
      <c r="D491" s="20">
        <f t="shared" ref="D491:D511" si="42">D490+C491</f>
        <v>24</v>
      </c>
      <c r="E491" s="25">
        <f t="shared" si="39"/>
        <v>1.0027397260273974</v>
      </c>
      <c r="F491" s="27">
        <f t="shared" si="31"/>
        <v>199623.76112619156</v>
      </c>
      <c r="G491" s="27">
        <f t="shared" si="32"/>
        <v>1673.8919391452564</v>
      </c>
      <c r="H491" s="26">
        <f t="shared" si="33"/>
        <v>207608.71157123923</v>
      </c>
      <c r="I491" s="27">
        <f t="shared" si="34"/>
        <v>185915.69169263332</v>
      </c>
      <c r="J491" s="27">
        <f t="shared" si="35"/>
        <v>2093.8945705248489</v>
      </c>
      <c r="K491" s="26">
        <f t="shared" si="36"/>
        <v>475944.17073314131</v>
      </c>
      <c r="L491" s="2">
        <f t="shared" si="40"/>
        <v>276320.40960694978</v>
      </c>
      <c r="M491" s="2">
        <f t="shared" si="41"/>
        <v>472047.36641187256</v>
      </c>
      <c r="N491" s="29">
        <f t="shared" si="37"/>
        <v>420.00263137959246</v>
      </c>
      <c r="O491" s="30">
        <f t="shared" ref="O491:O511" si="43">O490+N491</f>
        <v>717.50449527347041</v>
      </c>
      <c r="P491" s="2">
        <f t="shared" si="38"/>
        <v>11513.350400289573</v>
      </c>
    </row>
    <row r="492" spans="1:16384" hidden="1" x14ac:dyDescent="0.25">
      <c r="A492" s="17">
        <v>1</v>
      </c>
      <c r="B492" s="24">
        <v>42170</v>
      </c>
      <c r="C492" s="19">
        <v>0</v>
      </c>
      <c r="D492" s="20">
        <f t="shared" si="42"/>
        <v>24</v>
      </c>
      <c r="E492" s="25">
        <f t="shared" si="39"/>
        <v>1.0027397260273974</v>
      </c>
      <c r="F492" s="27">
        <f t="shared" si="31"/>
        <v>199623.76112619156</v>
      </c>
      <c r="G492" s="27">
        <f t="shared" si="32"/>
        <v>1673.8919391452564</v>
      </c>
      <c r="H492" s="26">
        <f t="shared" si="33"/>
        <v>207608.71157123923</v>
      </c>
      <c r="I492" s="27">
        <f t="shared" si="34"/>
        <v>185915.69169263332</v>
      </c>
      <c r="J492" s="27">
        <f t="shared" si="35"/>
        <v>2093.8945705248489</v>
      </c>
      <c r="K492" s="26">
        <f t="shared" si="36"/>
        <v>475944.17073314131</v>
      </c>
      <c r="L492" s="2">
        <f t="shared" si="40"/>
        <v>276320.40960694978</v>
      </c>
      <c r="M492" s="2">
        <f t="shared" si="41"/>
        <v>748367.77601882233</v>
      </c>
      <c r="N492" s="29">
        <f t="shared" si="37"/>
        <v>420.00263137959246</v>
      </c>
      <c r="O492" s="30">
        <f t="shared" si="43"/>
        <v>1137.5071266530629</v>
      </c>
      <c r="P492" s="2">
        <f t="shared" si="38"/>
        <v>11513.350400289573</v>
      </c>
    </row>
    <row r="493" spans="1:16384" hidden="1" x14ac:dyDescent="0.25">
      <c r="A493" s="17">
        <v>2</v>
      </c>
      <c r="B493" s="24">
        <v>42536</v>
      </c>
      <c r="C493" s="19">
        <v>30</v>
      </c>
      <c r="D493" s="20">
        <f t="shared" si="42"/>
        <v>54</v>
      </c>
      <c r="E493" s="25">
        <f t="shared" si="39"/>
        <v>1.0027397260273974</v>
      </c>
      <c r="F493" s="27">
        <f t="shared" si="31"/>
        <v>449153.46253393102</v>
      </c>
      <c r="G493" s="27">
        <f t="shared" si="32"/>
        <v>3766.2568630768269</v>
      </c>
      <c r="H493" s="26">
        <f t="shared" si="33"/>
        <v>467119.60103528824</v>
      </c>
      <c r="I493" s="27">
        <f t="shared" si="34"/>
        <v>418310.30630842497</v>
      </c>
      <c r="J493" s="27">
        <f t="shared" si="35"/>
        <v>4711.2627836809088</v>
      </c>
      <c r="K493" s="26">
        <f t="shared" si="36"/>
        <v>1070874.3841495679</v>
      </c>
      <c r="L493" s="2">
        <f t="shared" si="40"/>
        <v>621720.92161563691</v>
      </c>
      <c r="M493" s="2">
        <f t="shared" si="41"/>
        <v>1370088.6976344592</v>
      </c>
      <c r="N493" s="29">
        <f t="shared" si="37"/>
        <v>945.00592060408189</v>
      </c>
      <c r="O493" s="30">
        <f t="shared" si="43"/>
        <v>2082.5130472571445</v>
      </c>
      <c r="P493" s="2">
        <f t="shared" si="38"/>
        <v>11513.350400289572</v>
      </c>
    </row>
    <row r="494" spans="1:16384" hidden="1" x14ac:dyDescent="0.25">
      <c r="A494" s="17">
        <v>3</v>
      </c>
      <c r="B494" s="24">
        <v>42902</v>
      </c>
      <c r="C494" s="19">
        <v>24</v>
      </c>
      <c r="D494" s="20">
        <f t="shared" si="42"/>
        <v>78</v>
      </c>
      <c r="E494" s="25">
        <f t="shared" si="39"/>
        <v>1.0027397260273974</v>
      </c>
      <c r="F494" s="27">
        <f t="shared" si="31"/>
        <v>648777.2236601226</v>
      </c>
      <c r="G494" s="27">
        <f t="shared" si="32"/>
        <v>5440.1488022220828</v>
      </c>
      <c r="H494" s="26">
        <f t="shared" si="33"/>
        <v>674728.31260652759</v>
      </c>
      <c r="I494" s="27">
        <f t="shared" si="34"/>
        <v>604225.99800105835</v>
      </c>
      <c r="J494" s="27">
        <f t="shared" si="35"/>
        <v>6805.1573542057586</v>
      </c>
      <c r="K494" s="26">
        <f t="shared" si="36"/>
        <v>1546818.5548827094</v>
      </c>
      <c r="L494" s="2">
        <f t="shared" si="40"/>
        <v>898041.3312225868</v>
      </c>
      <c r="M494" s="2">
        <f t="shared" si="41"/>
        <v>2268130.0288570458</v>
      </c>
      <c r="N494" s="29">
        <f t="shared" si="37"/>
        <v>1365.0085519836757</v>
      </c>
      <c r="O494" s="30">
        <f t="shared" si="43"/>
        <v>3447.5215992408203</v>
      </c>
      <c r="P494" s="2">
        <f t="shared" si="38"/>
        <v>11513.350400289575</v>
      </c>
    </row>
    <row r="495" spans="1:16384" hidden="1" x14ac:dyDescent="0.25">
      <c r="A495" s="17">
        <v>4</v>
      </c>
      <c r="B495" s="24">
        <v>43268</v>
      </c>
      <c r="C495" s="19">
        <v>0</v>
      </c>
      <c r="D495" s="20">
        <f t="shared" si="42"/>
        <v>78</v>
      </c>
      <c r="E495" s="25">
        <f t="shared" si="39"/>
        <v>1.0027397260273974</v>
      </c>
      <c r="F495" s="27">
        <f t="shared" si="31"/>
        <v>648777.2236601226</v>
      </c>
      <c r="G495" s="27">
        <f t="shared" si="32"/>
        <v>5440.1488022220828</v>
      </c>
      <c r="H495" s="26">
        <f t="shared" si="33"/>
        <v>674728.31260652759</v>
      </c>
      <c r="I495" s="27">
        <f t="shared" si="34"/>
        <v>604225.99800105835</v>
      </c>
      <c r="J495" s="27">
        <f t="shared" si="35"/>
        <v>6805.1573542057586</v>
      </c>
      <c r="K495" s="26">
        <f t="shared" si="36"/>
        <v>1546818.5548827094</v>
      </c>
      <c r="L495" s="2">
        <f t="shared" si="40"/>
        <v>898041.3312225868</v>
      </c>
      <c r="M495" s="2">
        <f t="shared" si="41"/>
        <v>3166171.3600796326</v>
      </c>
      <c r="N495" s="29">
        <f t="shared" si="37"/>
        <v>1365.0085519836757</v>
      </c>
      <c r="O495" s="30">
        <f t="shared" si="43"/>
        <v>4812.530151224496</v>
      </c>
      <c r="P495" s="2">
        <f t="shared" si="38"/>
        <v>11513.350400289575</v>
      </c>
    </row>
    <row r="496" spans="1:16384" hidden="1" x14ac:dyDescent="0.25">
      <c r="A496" s="17">
        <v>5</v>
      </c>
      <c r="B496" s="24">
        <v>43634</v>
      </c>
      <c r="C496" s="19"/>
      <c r="D496" s="20">
        <f t="shared" si="42"/>
        <v>78</v>
      </c>
      <c r="E496" s="25">
        <f t="shared" si="39"/>
        <v>1.0027397260273974</v>
      </c>
      <c r="F496" s="27">
        <f t="shared" si="31"/>
        <v>648777.2236601226</v>
      </c>
      <c r="G496" s="27">
        <f t="shared" si="32"/>
        <v>5440.1488022220828</v>
      </c>
      <c r="H496" s="26">
        <f t="shared" si="33"/>
        <v>674728.31260652759</v>
      </c>
      <c r="I496" s="27">
        <f t="shared" si="34"/>
        <v>604225.99800105835</v>
      </c>
      <c r="J496" s="27">
        <f t="shared" si="35"/>
        <v>6805.1573542057586</v>
      </c>
      <c r="K496" s="26">
        <f t="shared" si="36"/>
        <v>1546818.5548827094</v>
      </c>
      <c r="L496" s="2">
        <f t="shared" si="40"/>
        <v>898041.3312225868</v>
      </c>
      <c r="M496" s="2">
        <f t="shared" si="41"/>
        <v>4064212.6913022194</v>
      </c>
      <c r="N496" s="29">
        <f t="shared" si="37"/>
        <v>1365.0085519836757</v>
      </c>
      <c r="O496" s="30">
        <f t="shared" si="43"/>
        <v>6177.5387032081717</v>
      </c>
      <c r="P496" s="2">
        <f t="shared" si="38"/>
        <v>11513.350400289575</v>
      </c>
    </row>
    <row r="497" spans="1:16" hidden="1" x14ac:dyDescent="0.25">
      <c r="A497" s="17">
        <v>6</v>
      </c>
      <c r="B497" s="24">
        <v>44000</v>
      </c>
      <c r="C497" s="19"/>
      <c r="D497" s="20">
        <f t="shared" si="42"/>
        <v>78</v>
      </c>
      <c r="E497" s="25">
        <f t="shared" si="39"/>
        <v>1.0027397260273974</v>
      </c>
      <c r="F497" s="27">
        <f t="shared" si="31"/>
        <v>648777.2236601226</v>
      </c>
      <c r="G497" s="27">
        <f t="shared" si="32"/>
        <v>5440.1488022220828</v>
      </c>
      <c r="H497" s="26">
        <f t="shared" si="33"/>
        <v>674728.31260652759</v>
      </c>
      <c r="I497" s="27">
        <f t="shared" si="34"/>
        <v>604225.99800105835</v>
      </c>
      <c r="J497" s="27">
        <f t="shared" si="35"/>
        <v>6805.1573542057586</v>
      </c>
      <c r="K497" s="26">
        <f t="shared" si="36"/>
        <v>1546818.5548827094</v>
      </c>
      <c r="L497" s="2">
        <f t="shared" si="40"/>
        <v>898041.3312225868</v>
      </c>
      <c r="M497" s="2">
        <f t="shared" si="41"/>
        <v>4962254.0225248057</v>
      </c>
      <c r="N497" s="29">
        <f t="shared" si="37"/>
        <v>1365.0085519836757</v>
      </c>
      <c r="O497" s="30">
        <f t="shared" si="43"/>
        <v>7542.5472551918474</v>
      </c>
      <c r="P497" s="2">
        <f t="shared" si="38"/>
        <v>11513.350400289575</v>
      </c>
    </row>
    <row r="498" spans="1:16" hidden="1" x14ac:dyDescent="0.25">
      <c r="A498" s="17">
        <v>7</v>
      </c>
      <c r="B498" s="24">
        <v>44366</v>
      </c>
      <c r="C498" s="19"/>
      <c r="D498" s="20">
        <f t="shared" si="42"/>
        <v>78</v>
      </c>
      <c r="E498" s="25">
        <f t="shared" si="39"/>
        <v>1.0027397260273974</v>
      </c>
      <c r="F498" s="27">
        <f t="shared" si="31"/>
        <v>648777.2236601226</v>
      </c>
      <c r="G498" s="27">
        <f t="shared" si="32"/>
        <v>5440.1488022220828</v>
      </c>
      <c r="H498" s="26">
        <f t="shared" si="33"/>
        <v>674728.31260652759</v>
      </c>
      <c r="I498" s="27">
        <f t="shared" si="34"/>
        <v>604225.99800105835</v>
      </c>
      <c r="J498" s="27">
        <f t="shared" si="35"/>
        <v>6805.1573542057586</v>
      </c>
      <c r="K498" s="26">
        <f t="shared" si="36"/>
        <v>1546818.5548827094</v>
      </c>
      <c r="L498" s="2">
        <f t="shared" si="40"/>
        <v>898041.3312225868</v>
      </c>
      <c r="M498" s="2">
        <f t="shared" si="41"/>
        <v>5860295.3537473921</v>
      </c>
      <c r="N498" s="29">
        <f t="shared" si="37"/>
        <v>1365.0085519836757</v>
      </c>
      <c r="O498" s="30">
        <f t="shared" si="43"/>
        <v>8907.5558071755222</v>
      </c>
      <c r="P498" s="2">
        <f t="shared" si="38"/>
        <v>11513.350400289575</v>
      </c>
    </row>
    <row r="499" spans="1:16" hidden="1" x14ac:dyDescent="0.25">
      <c r="A499" s="17">
        <v>8</v>
      </c>
      <c r="B499" s="24">
        <v>44732</v>
      </c>
      <c r="C499" s="19"/>
      <c r="D499" s="20">
        <f t="shared" si="42"/>
        <v>78</v>
      </c>
      <c r="E499" s="25">
        <f t="shared" si="39"/>
        <v>1.0027397260273974</v>
      </c>
      <c r="F499" s="27">
        <f t="shared" si="31"/>
        <v>648777.2236601226</v>
      </c>
      <c r="G499" s="27">
        <f t="shared" si="32"/>
        <v>5440.1488022220828</v>
      </c>
      <c r="H499" s="26">
        <f t="shared" si="33"/>
        <v>674728.31260652759</v>
      </c>
      <c r="I499" s="27">
        <f t="shared" si="34"/>
        <v>604225.99800105835</v>
      </c>
      <c r="J499" s="27">
        <f t="shared" si="35"/>
        <v>6805.1573542057586</v>
      </c>
      <c r="K499" s="26">
        <f t="shared" si="36"/>
        <v>1546818.5548827094</v>
      </c>
      <c r="L499" s="2">
        <f t="shared" si="40"/>
        <v>898041.3312225868</v>
      </c>
      <c r="M499" s="2">
        <f t="shared" si="41"/>
        <v>6758336.6849699784</v>
      </c>
      <c r="N499" s="29">
        <f t="shared" si="37"/>
        <v>1365.0085519836757</v>
      </c>
      <c r="O499" s="30">
        <f t="shared" si="43"/>
        <v>10272.564359159198</v>
      </c>
      <c r="P499" s="2">
        <f t="shared" si="38"/>
        <v>11513.350400289575</v>
      </c>
    </row>
    <row r="500" spans="1:16" hidden="1" x14ac:dyDescent="0.25">
      <c r="A500" s="17">
        <v>9</v>
      </c>
      <c r="B500" s="24">
        <v>45098</v>
      </c>
      <c r="C500" s="19"/>
      <c r="D500" s="20">
        <f t="shared" si="42"/>
        <v>78</v>
      </c>
      <c r="E500" s="25">
        <f t="shared" si="39"/>
        <v>1.0027397260273974</v>
      </c>
      <c r="F500" s="27">
        <f t="shared" si="31"/>
        <v>648777.2236601226</v>
      </c>
      <c r="G500" s="27">
        <f t="shared" si="32"/>
        <v>5440.1488022220828</v>
      </c>
      <c r="H500" s="26">
        <f t="shared" si="33"/>
        <v>674728.31260652759</v>
      </c>
      <c r="I500" s="27">
        <f t="shared" si="34"/>
        <v>604225.99800105835</v>
      </c>
      <c r="J500" s="27">
        <f t="shared" si="35"/>
        <v>6805.1573542057586</v>
      </c>
      <c r="K500" s="26">
        <f t="shared" si="36"/>
        <v>1546818.5548827094</v>
      </c>
      <c r="L500" s="2">
        <f t="shared" si="40"/>
        <v>898041.3312225868</v>
      </c>
      <c r="M500" s="2">
        <f t="shared" si="41"/>
        <v>7656378.0161925647</v>
      </c>
      <c r="N500" s="29">
        <f t="shared" si="37"/>
        <v>1365.0085519836757</v>
      </c>
      <c r="O500" s="30">
        <f t="shared" si="43"/>
        <v>11637.572911142874</v>
      </c>
      <c r="P500" s="2">
        <f t="shared" si="38"/>
        <v>11513.350400289575</v>
      </c>
    </row>
    <row r="501" spans="1:16" hidden="1" x14ac:dyDescent="0.25">
      <c r="A501" s="17">
        <v>10</v>
      </c>
      <c r="B501" s="24">
        <v>45464</v>
      </c>
      <c r="C501" s="19"/>
      <c r="D501" s="20">
        <f t="shared" si="42"/>
        <v>78</v>
      </c>
      <c r="E501" s="25">
        <f t="shared" si="39"/>
        <v>1.0027397260273974</v>
      </c>
      <c r="F501" s="27">
        <f t="shared" si="31"/>
        <v>648777.2236601226</v>
      </c>
      <c r="G501" s="27">
        <f t="shared" si="32"/>
        <v>5440.1488022220828</v>
      </c>
      <c r="H501" s="26">
        <f t="shared" si="33"/>
        <v>674728.31260652759</v>
      </c>
      <c r="I501" s="27">
        <f t="shared" si="34"/>
        <v>604225.99800105835</v>
      </c>
      <c r="J501" s="27">
        <f t="shared" si="35"/>
        <v>6805.1573542057586</v>
      </c>
      <c r="K501" s="26">
        <f t="shared" si="36"/>
        <v>1546818.5548827094</v>
      </c>
      <c r="L501" s="2">
        <f t="shared" si="40"/>
        <v>898041.3312225868</v>
      </c>
      <c r="M501" s="2">
        <f t="shared" si="41"/>
        <v>8554419.3474151511</v>
      </c>
      <c r="N501" s="29">
        <f t="shared" si="37"/>
        <v>1365.0085519836757</v>
      </c>
      <c r="O501" s="30">
        <f t="shared" si="43"/>
        <v>13002.581463126549</v>
      </c>
      <c r="P501" s="2">
        <f t="shared" si="38"/>
        <v>11513.350400289575</v>
      </c>
    </row>
    <row r="502" spans="1:16" hidden="1" x14ac:dyDescent="0.25">
      <c r="A502" s="17">
        <v>11</v>
      </c>
      <c r="B502" s="24">
        <v>45830</v>
      </c>
      <c r="C502" s="19"/>
      <c r="D502" s="20">
        <f t="shared" si="42"/>
        <v>78</v>
      </c>
      <c r="E502" s="25">
        <f t="shared" si="39"/>
        <v>1.0027397260273974</v>
      </c>
      <c r="F502" s="27">
        <f t="shared" si="31"/>
        <v>648777.2236601226</v>
      </c>
      <c r="G502" s="27">
        <f t="shared" si="32"/>
        <v>5440.1488022220828</v>
      </c>
      <c r="H502" s="26">
        <f t="shared" si="33"/>
        <v>674728.31260652759</v>
      </c>
      <c r="I502" s="27">
        <f t="shared" si="34"/>
        <v>604225.99800105835</v>
      </c>
      <c r="J502" s="27">
        <f t="shared" si="35"/>
        <v>6805.1573542057586</v>
      </c>
      <c r="K502" s="26">
        <f t="shared" si="36"/>
        <v>1546818.5548827094</v>
      </c>
      <c r="L502" s="2">
        <f t="shared" si="40"/>
        <v>898041.3312225868</v>
      </c>
      <c r="M502" s="2">
        <f t="shared" si="41"/>
        <v>9452460.6786377374</v>
      </c>
      <c r="N502" s="29">
        <f t="shared" si="37"/>
        <v>1365.0085519836757</v>
      </c>
      <c r="O502" s="30">
        <f t="shared" si="43"/>
        <v>14367.590015110225</v>
      </c>
      <c r="P502" s="2">
        <f t="shared" si="38"/>
        <v>11513.350400289575</v>
      </c>
    </row>
    <row r="503" spans="1:16" hidden="1" x14ac:dyDescent="0.25">
      <c r="A503" s="17">
        <v>12</v>
      </c>
      <c r="B503" s="24">
        <v>46196</v>
      </c>
      <c r="C503" s="19"/>
      <c r="D503" s="20">
        <f t="shared" si="42"/>
        <v>78</v>
      </c>
      <c r="E503" s="25">
        <f t="shared" si="39"/>
        <v>1.0027397260273974</v>
      </c>
      <c r="F503" s="27">
        <f t="shared" si="31"/>
        <v>648777.2236601226</v>
      </c>
      <c r="G503" s="27">
        <f t="shared" si="32"/>
        <v>5440.1488022220828</v>
      </c>
      <c r="H503" s="26">
        <f t="shared" si="33"/>
        <v>674728.31260652759</v>
      </c>
      <c r="I503" s="27">
        <f t="shared" si="34"/>
        <v>604225.99800105835</v>
      </c>
      <c r="J503" s="27">
        <f t="shared" si="35"/>
        <v>6805.1573542057586</v>
      </c>
      <c r="K503" s="26">
        <f t="shared" si="36"/>
        <v>1546818.5548827094</v>
      </c>
      <c r="L503" s="2">
        <f t="shared" si="40"/>
        <v>898041.3312225868</v>
      </c>
      <c r="M503" s="2">
        <f t="shared" si="41"/>
        <v>10350502.009860324</v>
      </c>
      <c r="N503" s="29">
        <f t="shared" si="37"/>
        <v>1365.0085519836757</v>
      </c>
      <c r="O503" s="30">
        <f t="shared" si="43"/>
        <v>15732.598567093901</v>
      </c>
      <c r="P503" s="2">
        <f t="shared" si="38"/>
        <v>11513.350400289575</v>
      </c>
    </row>
    <row r="504" spans="1:16" hidden="1" x14ac:dyDescent="0.25">
      <c r="A504" s="17">
        <v>13</v>
      </c>
      <c r="B504" s="24">
        <v>46562</v>
      </c>
      <c r="C504" s="19"/>
      <c r="D504" s="20">
        <f t="shared" si="42"/>
        <v>78</v>
      </c>
      <c r="E504" s="25">
        <f t="shared" si="39"/>
        <v>1.0027397260273974</v>
      </c>
      <c r="F504" s="27">
        <f t="shared" si="31"/>
        <v>648777.2236601226</v>
      </c>
      <c r="G504" s="27">
        <f t="shared" si="32"/>
        <v>5440.1488022220828</v>
      </c>
      <c r="H504" s="26">
        <f t="shared" si="33"/>
        <v>674728.31260652759</v>
      </c>
      <c r="I504" s="27">
        <f t="shared" si="34"/>
        <v>604225.99800105835</v>
      </c>
      <c r="J504" s="27">
        <f t="shared" si="35"/>
        <v>6805.1573542057586</v>
      </c>
      <c r="K504" s="26">
        <f t="shared" si="36"/>
        <v>1546818.5548827094</v>
      </c>
      <c r="L504" s="2">
        <f t="shared" si="40"/>
        <v>898041.3312225868</v>
      </c>
      <c r="M504" s="2">
        <f t="shared" si="41"/>
        <v>11248543.34108291</v>
      </c>
      <c r="N504" s="29">
        <f t="shared" si="37"/>
        <v>1365.0085519836757</v>
      </c>
      <c r="O504" s="30">
        <f t="shared" si="43"/>
        <v>17097.607119077576</v>
      </c>
      <c r="P504" s="2">
        <f t="shared" si="38"/>
        <v>11513.350400289575</v>
      </c>
    </row>
    <row r="505" spans="1:16" hidden="1" x14ac:dyDescent="0.25">
      <c r="A505" s="17">
        <v>14</v>
      </c>
      <c r="B505" s="24">
        <v>46928</v>
      </c>
      <c r="C505" s="19"/>
      <c r="D505" s="20">
        <f t="shared" si="42"/>
        <v>78</v>
      </c>
      <c r="E505" s="25">
        <f t="shared" si="39"/>
        <v>1.0027397260273974</v>
      </c>
      <c r="F505" s="27">
        <f t="shared" si="31"/>
        <v>648777.2236601226</v>
      </c>
      <c r="G505" s="27">
        <f t="shared" si="32"/>
        <v>5440.1488022220828</v>
      </c>
      <c r="H505" s="26">
        <f t="shared" si="33"/>
        <v>674728.31260652759</v>
      </c>
      <c r="I505" s="27">
        <f t="shared" si="34"/>
        <v>604225.99800105835</v>
      </c>
      <c r="J505" s="27">
        <f t="shared" si="35"/>
        <v>6805.1573542057586</v>
      </c>
      <c r="K505" s="26">
        <f t="shared" si="36"/>
        <v>1546818.5548827094</v>
      </c>
      <c r="L505" s="2">
        <f t="shared" si="40"/>
        <v>898041.3312225868</v>
      </c>
      <c r="M505" s="2">
        <f t="shared" si="41"/>
        <v>12146584.672305496</v>
      </c>
      <c r="N505" s="29">
        <f t="shared" si="37"/>
        <v>1365.0085519836757</v>
      </c>
      <c r="O505" s="30">
        <f t="shared" si="43"/>
        <v>18462.615671061252</v>
      </c>
      <c r="P505" s="2">
        <f t="shared" si="38"/>
        <v>11513.350400289575</v>
      </c>
    </row>
    <row r="506" spans="1:16" hidden="1" x14ac:dyDescent="0.25">
      <c r="A506" s="17">
        <v>15</v>
      </c>
      <c r="B506" s="24">
        <v>47294</v>
      </c>
      <c r="C506" s="19"/>
      <c r="D506" s="20">
        <f t="shared" si="42"/>
        <v>78</v>
      </c>
      <c r="E506" s="25">
        <f t="shared" si="39"/>
        <v>1.0027397260273974</v>
      </c>
      <c r="F506" s="27">
        <f t="shared" si="31"/>
        <v>648777.2236601226</v>
      </c>
      <c r="G506" s="27">
        <f t="shared" si="32"/>
        <v>5440.1488022220828</v>
      </c>
      <c r="H506" s="26">
        <f t="shared" si="33"/>
        <v>674728.31260652759</v>
      </c>
      <c r="I506" s="27">
        <f t="shared" si="34"/>
        <v>604225.99800105835</v>
      </c>
      <c r="J506" s="27">
        <f t="shared" si="35"/>
        <v>6805.1573542057586</v>
      </c>
      <c r="K506" s="26">
        <f t="shared" si="36"/>
        <v>1546818.5548827094</v>
      </c>
      <c r="L506" s="2">
        <f t="shared" si="40"/>
        <v>898041.3312225868</v>
      </c>
      <c r="M506" s="2">
        <f t="shared" si="41"/>
        <v>13044626.003528083</v>
      </c>
      <c r="N506" s="29">
        <f t="shared" si="37"/>
        <v>1365.0085519836757</v>
      </c>
      <c r="O506" s="30">
        <f t="shared" si="43"/>
        <v>19827.624223044928</v>
      </c>
      <c r="P506" s="2">
        <f t="shared" si="38"/>
        <v>11513.350400289575</v>
      </c>
    </row>
    <row r="507" spans="1:16" hidden="1" x14ac:dyDescent="0.25">
      <c r="A507" s="17">
        <v>16</v>
      </c>
      <c r="B507" s="24">
        <v>47660</v>
      </c>
      <c r="C507" s="19"/>
      <c r="D507" s="20">
        <f t="shared" si="42"/>
        <v>78</v>
      </c>
      <c r="E507" s="25">
        <f t="shared" si="39"/>
        <v>1.0027397260273974</v>
      </c>
      <c r="F507" s="27">
        <f t="shared" si="31"/>
        <v>648777.2236601226</v>
      </c>
      <c r="G507" s="27">
        <f t="shared" si="32"/>
        <v>5440.1488022220828</v>
      </c>
      <c r="H507" s="26">
        <f t="shared" si="33"/>
        <v>674728.31260652759</v>
      </c>
      <c r="I507" s="27">
        <f t="shared" si="34"/>
        <v>604225.99800105835</v>
      </c>
      <c r="J507" s="27">
        <f t="shared" si="35"/>
        <v>6805.1573542057586</v>
      </c>
      <c r="K507" s="26">
        <f t="shared" si="36"/>
        <v>1546818.5548827094</v>
      </c>
      <c r="L507" s="2">
        <f t="shared" si="40"/>
        <v>898041.3312225868</v>
      </c>
      <c r="M507" s="2">
        <f t="shared" si="41"/>
        <v>13942667.334750669</v>
      </c>
      <c r="N507" s="29">
        <f t="shared" si="37"/>
        <v>1365.0085519836757</v>
      </c>
      <c r="O507" s="30">
        <f t="shared" si="43"/>
        <v>21192.632775028604</v>
      </c>
      <c r="P507" s="2">
        <f t="shared" si="38"/>
        <v>11513.350400289575</v>
      </c>
    </row>
    <row r="508" spans="1:16" hidden="1" x14ac:dyDescent="0.25">
      <c r="A508" s="17">
        <v>17</v>
      </c>
      <c r="B508" s="24">
        <v>48026</v>
      </c>
      <c r="C508" s="19"/>
      <c r="D508" s="20">
        <f t="shared" si="42"/>
        <v>78</v>
      </c>
      <c r="E508" s="25">
        <f t="shared" si="39"/>
        <v>1.0027397260273974</v>
      </c>
      <c r="F508" s="27">
        <f t="shared" si="31"/>
        <v>648777.2236601226</v>
      </c>
      <c r="G508" s="27">
        <f t="shared" si="32"/>
        <v>5440.1488022220828</v>
      </c>
      <c r="H508" s="26">
        <f t="shared" si="33"/>
        <v>674728.31260652759</v>
      </c>
      <c r="I508" s="27">
        <f t="shared" si="34"/>
        <v>604225.99800105835</v>
      </c>
      <c r="J508" s="27">
        <f t="shared" si="35"/>
        <v>6805.1573542057586</v>
      </c>
      <c r="K508" s="26">
        <f t="shared" si="36"/>
        <v>1546818.5548827094</v>
      </c>
      <c r="L508" s="2">
        <f t="shared" si="40"/>
        <v>898041.3312225868</v>
      </c>
      <c r="M508" s="2">
        <f t="shared" si="41"/>
        <v>14840708.665973255</v>
      </c>
      <c r="N508" s="29">
        <f t="shared" si="37"/>
        <v>1365.0085519836757</v>
      </c>
      <c r="O508" s="30">
        <f t="shared" si="43"/>
        <v>22557.641327012279</v>
      </c>
      <c r="P508" s="2">
        <f t="shared" si="38"/>
        <v>11513.350400289575</v>
      </c>
    </row>
    <row r="509" spans="1:16" hidden="1" x14ac:dyDescent="0.25">
      <c r="A509" s="17">
        <v>18</v>
      </c>
      <c r="B509" s="24">
        <v>48392</v>
      </c>
      <c r="C509" s="19"/>
      <c r="D509" s="20">
        <f t="shared" si="42"/>
        <v>78</v>
      </c>
      <c r="E509" s="25">
        <f t="shared" si="39"/>
        <v>1.0027397260273974</v>
      </c>
      <c r="F509" s="27">
        <f t="shared" si="31"/>
        <v>648777.2236601226</v>
      </c>
      <c r="G509" s="27">
        <f t="shared" si="32"/>
        <v>5440.1488022220828</v>
      </c>
      <c r="H509" s="26">
        <f t="shared" si="33"/>
        <v>674728.31260652759</v>
      </c>
      <c r="I509" s="27">
        <f t="shared" si="34"/>
        <v>604225.99800105835</v>
      </c>
      <c r="J509" s="27">
        <f t="shared" si="35"/>
        <v>6805.1573542057586</v>
      </c>
      <c r="K509" s="26">
        <f t="shared" si="36"/>
        <v>1546818.5548827094</v>
      </c>
      <c r="L509" s="2">
        <f t="shared" si="40"/>
        <v>898041.3312225868</v>
      </c>
      <c r="M509" s="2">
        <f t="shared" si="41"/>
        <v>15738749.997195842</v>
      </c>
      <c r="N509" s="29">
        <f t="shared" si="37"/>
        <v>1365.0085519836757</v>
      </c>
      <c r="O509" s="30">
        <f t="shared" si="43"/>
        <v>23922.649878995955</v>
      </c>
      <c r="P509" s="2">
        <f t="shared" si="38"/>
        <v>11513.350400289575</v>
      </c>
    </row>
    <row r="510" spans="1:16" hidden="1" x14ac:dyDescent="0.25">
      <c r="A510" s="17">
        <v>19</v>
      </c>
      <c r="B510" s="24">
        <v>48758</v>
      </c>
      <c r="C510" s="19"/>
      <c r="D510" s="20">
        <f t="shared" si="42"/>
        <v>78</v>
      </c>
      <c r="E510" s="25">
        <f t="shared" si="39"/>
        <v>1.0027397260273974</v>
      </c>
      <c r="F510" s="27">
        <f t="shared" si="31"/>
        <v>648777.2236601226</v>
      </c>
      <c r="G510" s="27">
        <f t="shared" si="32"/>
        <v>5440.1488022220828</v>
      </c>
      <c r="H510" s="26">
        <f t="shared" si="33"/>
        <v>674728.31260652759</v>
      </c>
      <c r="I510" s="27">
        <f t="shared" si="34"/>
        <v>604225.99800105835</v>
      </c>
      <c r="J510" s="27">
        <f t="shared" si="35"/>
        <v>6805.1573542057586</v>
      </c>
      <c r="K510" s="26">
        <f t="shared" si="36"/>
        <v>1546818.5548827094</v>
      </c>
      <c r="L510" s="2">
        <f t="shared" si="40"/>
        <v>898041.3312225868</v>
      </c>
      <c r="M510" s="2">
        <f t="shared" si="41"/>
        <v>16636791.328418428</v>
      </c>
      <c r="N510" s="29">
        <f t="shared" si="37"/>
        <v>1365.0085519836757</v>
      </c>
      <c r="O510" s="30">
        <f t="shared" si="43"/>
        <v>25287.658430979631</v>
      </c>
      <c r="P510" s="2">
        <f t="shared" si="38"/>
        <v>11513.350400289575</v>
      </c>
    </row>
    <row r="511" spans="1:16" hidden="1" x14ac:dyDescent="0.25">
      <c r="A511" s="17">
        <v>20</v>
      </c>
      <c r="B511" s="24">
        <v>49124</v>
      </c>
      <c r="C511" s="19"/>
      <c r="D511" s="20">
        <f t="shared" si="42"/>
        <v>78</v>
      </c>
      <c r="E511" s="25">
        <f t="shared" si="39"/>
        <v>1.0027397260273974</v>
      </c>
      <c r="F511" s="27">
        <f t="shared" si="31"/>
        <v>648777.2236601226</v>
      </c>
      <c r="G511" s="27">
        <f t="shared" si="32"/>
        <v>5440.1488022220828</v>
      </c>
      <c r="H511" s="26">
        <f t="shared" si="33"/>
        <v>674728.31260652759</v>
      </c>
      <c r="I511" s="27">
        <f t="shared" si="34"/>
        <v>604225.99800105835</v>
      </c>
      <c r="J511" s="27">
        <f t="shared" si="35"/>
        <v>6805.1573542057586</v>
      </c>
      <c r="K511" s="26">
        <f t="shared" si="36"/>
        <v>1546818.5548827094</v>
      </c>
      <c r="L511" s="2">
        <f t="shared" si="40"/>
        <v>898041.3312225868</v>
      </c>
      <c r="M511" s="2">
        <f t="shared" si="41"/>
        <v>17534832.659641016</v>
      </c>
      <c r="N511" s="31">
        <f t="shared" si="37"/>
        <v>1365.0085519836757</v>
      </c>
      <c r="O511" s="32">
        <f t="shared" si="43"/>
        <v>26652.666982963307</v>
      </c>
      <c r="P511" s="2"/>
    </row>
    <row r="512" spans="1:16" hidden="1" x14ac:dyDescent="0.25">
      <c r="A512" s="46"/>
      <c r="B512" s="47">
        <v>49490</v>
      </c>
      <c r="C512" s="48" t="s">
        <v>26</v>
      </c>
      <c r="D512" s="49">
        <f>D511</f>
        <v>78</v>
      </c>
      <c r="E512" s="50"/>
      <c r="F512" s="51">
        <f>SUM(F489:F511)</f>
        <v>12667791.174799573</v>
      </c>
      <c r="G512" s="51">
        <f>SUM(G489:G511)</f>
        <v>106222.39263825941</v>
      </c>
      <c r="H512" s="52">
        <f t="shared" ref="H512:L512" si="44">SUM(H489:H511)</f>
        <v>13174502.821791563</v>
      </c>
      <c r="I512" s="51">
        <f t="shared" si="44"/>
        <v>11797899.935328355</v>
      </c>
      <c r="J512" s="51">
        <f>SUM(J489:J511)</f>
        <v>132875.0596212227</v>
      </c>
      <c r="K512" s="52">
        <f t="shared" si="44"/>
        <v>30202623.834440589</v>
      </c>
      <c r="L512" s="53">
        <f t="shared" si="44"/>
        <v>17534832.659641016</v>
      </c>
      <c r="M512" s="53"/>
      <c r="N512" s="54">
        <f>SUM(N489:N511)</f>
        <v>26652.666982963307</v>
      </c>
      <c r="O512" s="1"/>
    </row>
    <row r="513" spans="1:20" hidden="1" x14ac:dyDescent="0.25">
      <c r="A513" s="17"/>
      <c r="B513" s="24"/>
      <c r="C513" s="19"/>
      <c r="D513" s="20"/>
    </row>
    <row r="514" spans="1:20" x14ac:dyDescent="0.25">
      <c r="A514" s="341"/>
      <c r="B514" s="24" t="s">
        <v>337</v>
      </c>
      <c r="C514" s="385">
        <f>(H483/H484)*C485</f>
        <v>1.1166820276497698</v>
      </c>
      <c r="D514" s="20"/>
      <c r="F514" s="310" t="s">
        <v>304</v>
      </c>
      <c r="G514" s="310"/>
      <c r="H514" s="328">
        <v>36000</v>
      </c>
      <c r="I514" s="311" t="s">
        <v>14</v>
      </c>
    </row>
    <row r="515" spans="1:20" x14ac:dyDescent="0.25">
      <c r="A515" s="522"/>
      <c r="B515" s="24"/>
      <c r="C515" s="385"/>
      <c r="D515" s="20"/>
      <c r="F515" s="524"/>
      <c r="G515" s="6"/>
      <c r="H515" s="176"/>
      <c r="I515" s="6"/>
    </row>
    <row r="516" spans="1:20" x14ac:dyDescent="0.25">
      <c r="A516" s="522"/>
      <c r="B516" s="24"/>
      <c r="C516" s="385"/>
      <c r="D516" s="20"/>
      <c r="F516" s="524"/>
      <c r="G516" s="6"/>
      <c r="H516" s="176"/>
      <c r="I516" s="6"/>
    </row>
    <row r="517" spans="1:20" x14ac:dyDescent="0.25">
      <c r="A517" s="341"/>
      <c r="B517" s="24"/>
      <c r="C517" s="19"/>
      <c r="D517" s="20"/>
      <c r="F517" s="525"/>
      <c r="G517" s="525"/>
      <c r="H517" s="525"/>
      <c r="I517" s="526"/>
      <c r="J517" s="526"/>
      <c r="K517" s="526"/>
    </row>
    <row r="518" spans="1:20" x14ac:dyDescent="0.25">
      <c r="A518" s="14"/>
      <c r="B518" s="24"/>
      <c r="C518" s="19"/>
      <c r="D518" s="20"/>
      <c r="F518" s="318" t="s">
        <v>308</v>
      </c>
      <c r="H518" s="318" t="s">
        <v>305</v>
      </c>
      <c r="I518" s="311" t="s">
        <v>306</v>
      </c>
      <c r="K518" s="311" t="s">
        <v>307</v>
      </c>
      <c r="M518" s="15"/>
      <c r="N518" s="8">
        <f>Assumptions!B2</f>
        <v>40000</v>
      </c>
    </row>
    <row r="519" spans="1:20" x14ac:dyDescent="0.25">
      <c r="A519" s="33" t="s">
        <v>343</v>
      </c>
      <c r="B519" s="36"/>
      <c r="C519" s="37"/>
      <c r="D519" s="38"/>
      <c r="E519" s="39"/>
      <c r="F519" s="319" t="s">
        <v>15</v>
      </c>
      <c r="G519" s="40" t="s">
        <v>38</v>
      </c>
      <c r="H519" s="319" t="s">
        <v>31</v>
      </c>
      <c r="I519" s="313" t="s">
        <v>32</v>
      </c>
      <c r="J519" s="40" t="s">
        <v>39</v>
      </c>
      <c r="K519" s="313" t="s">
        <v>33</v>
      </c>
      <c r="L519" s="40" t="s">
        <v>426</v>
      </c>
      <c r="M519" s="40" t="s">
        <v>20</v>
      </c>
      <c r="N519" s="40" t="s">
        <v>28</v>
      </c>
      <c r="O519" s="40" t="s">
        <v>423</v>
      </c>
      <c r="P519" s="40" t="s">
        <v>40</v>
      </c>
      <c r="Q519" s="40" t="s">
        <v>41</v>
      </c>
      <c r="R519" s="34"/>
      <c r="S519" s="39" t="s">
        <v>45</v>
      </c>
      <c r="T519" s="34"/>
    </row>
    <row r="520" spans="1:20" x14ac:dyDescent="0.25">
      <c r="A520" s="41" t="s">
        <v>29</v>
      </c>
      <c r="B520" s="42" t="s">
        <v>21</v>
      </c>
      <c r="C520" s="43" t="s">
        <v>341</v>
      </c>
      <c r="D520" s="43" t="s">
        <v>342</v>
      </c>
      <c r="E520" s="43" t="s">
        <v>24</v>
      </c>
      <c r="F520" s="320" t="s">
        <v>30</v>
      </c>
      <c r="G520" s="44" t="s">
        <v>46</v>
      </c>
      <c r="H520" s="320" t="s">
        <v>30</v>
      </c>
      <c r="I520" s="314" t="s">
        <v>30</v>
      </c>
      <c r="J520" s="44" t="s">
        <v>46</v>
      </c>
      <c r="K520" s="314" t="s">
        <v>30</v>
      </c>
      <c r="L520" s="44" t="s">
        <v>25</v>
      </c>
      <c r="M520" s="44" t="s">
        <v>25</v>
      </c>
      <c r="N520" s="44" t="s">
        <v>27</v>
      </c>
      <c r="O520" s="44" t="s">
        <v>25</v>
      </c>
      <c r="P520" s="44" t="s">
        <v>25</v>
      </c>
      <c r="Q520" s="44" t="s">
        <v>25</v>
      </c>
      <c r="R520" s="35"/>
      <c r="S520" s="35"/>
      <c r="T520" s="35"/>
    </row>
    <row r="521" spans="1:20" x14ac:dyDescent="0.25">
      <c r="A521">
        <v>1</v>
      </c>
      <c r="B521" s="231">
        <v>2018</v>
      </c>
      <c r="C521" s="238">
        <v>0</v>
      </c>
      <c r="D521" s="20">
        <v>47</v>
      </c>
      <c r="E521" s="156">
        <v>1</v>
      </c>
      <c r="F521" s="324">
        <f t="shared" ref="F521:F560" si="45">D521*E521*(H$514/H$484)</f>
        <v>389861.75115207379</v>
      </c>
      <c r="G521" s="27">
        <f t="shared" ref="G521:G560" si="46">F521*131.73*0.0546*1000/907200+D521*E521*H$514*1.966/907200*21+D521*E521*H$514*0.175/907200*310</f>
        <v>3269.0819918074762</v>
      </c>
      <c r="H521" s="321">
        <f t="shared" ref="H521:H538" si="47">F521*C$485</f>
        <v>405456.22119815677</v>
      </c>
      <c r="I521" s="315">
        <f t="shared" ref="I521:I560" si="48">D521*E521*H$514/H$483</f>
        <v>363090.1287553648</v>
      </c>
      <c r="J521" s="27">
        <f t="shared" ref="J521:J560" si="49">I521*10.21*1000/907200+D521*E521*H$514*0.0051/907200*21+D521*E521*H$514*0.0048/907200*310</f>
        <v>4089.3398630867227</v>
      </c>
      <c r="K521" s="325">
        <f t="shared" ref="K521:K538" si="50">I521*C$484</f>
        <v>929510.72961373394</v>
      </c>
      <c r="L521" s="28">
        <f t="shared" ref="L521:L557" si="51">K521-H521</f>
        <v>524054.50841557718</v>
      </c>
      <c r="M521" s="28">
        <v>0</v>
      </c>
      <c r="N521" s="28">
        <f>(C521*Assumptions!$B$5)*((1+'Economic Competitiveness'!$E$48)^3)</f>
        <v>0</v>
      </c>
      <c r="O521" s="28">
        <f>L521-N521</f>
        <v>524054.50841557718</v>
      </c>
      <c r="P521" s="27">
        <f t="shared" ref="P521:P538" si="52">J521-G521</f>
        <v>820.2578712792465</v>
      </c>
      <c r="Q521" s="27">
        <f>P521</f>
        <v>820.2578712792465</v>
      </c>
      <c r="R521" s="23"/>
      <c r="S521" s="28">
        <f t="shared" ref="S521:S538" si="53">L521/D521</f>
        <v>11150.095923735684</v>
      </c>
      <c r="T521" s="23"/>
    </row>
    <row r="522" spans="1:20" x14ac:dyDescent="0.25">
      <c r="A522">
        <f t="shared" ref="A522:B555" si="54">A521+1</f>
        <v>2</v>
      </c>
      <c r="B522" s="231">
        <f t="shared" si="54"/>
        <v>2019</v>
      </c>
      <c r="C522" s="238">
        <v>0</v>
      </c>
      <c r="D522" s="20">
        <f t="shared" ref="D522:D557" si="55">D521+C522</f>
        <v>47</v>
      </c>
      <c r="E522" s="156">
        <v>1</v>
      </c>
      <c r="F522" s="324">
        <f t="shared" si="45"/>
        <v>389861.75115207379</v>
      </c>
      <c r="G522" s="27">
        <f t="shared" si="46"/>
        <v>3269.0819918074762</v>
      </c>
      <c r="H522" s="321">
        <f t="shared" si="47"/>
        <v>405456.22119815677</v>
      </c>
      <c r="I522" s="315">
        <f t="shared" si="48"/>
        <v>363090.1287553648</v>
      </c>
      <c r="J522" s="27">
        <f t="shared" si="49"/>
        <v>4089.3398630867227</v>
      </c>
      <c r="K522" s="325">
        <f t="shared" si="50"/>
        <v>929510.72961373394</v>
      </c>
      <c r="L522" s="28">
        <f t="shared" si="51"/>
        <v>524054.50841557718</v>
      </c>
      <c r="M522" s="28">
        <f>M521+L522</f>
        <v>524054.50841557718</v>
      </c>
      <c r="N522" s="28">
        <f>(C522*Assumptions!$B$5)*((1+'Economic Competitiveness'!$E$48)^2)</f>
        <v>0</v>
      </c>
      <c r="O522" s="28">
        <f t="shared" ref="O522:O538" si="56">L522+O521-N522</f>
        <v>1048109.0168311544</v>
      </c>
      <c r="P522" s="27">
        <f t="shared" si="52"/>
        <v>820.2578712792465</v>
      </c>
      <c r="Q522" s="27">
        <f t="shared" ref="Q522:Q538" si="57">Q521+P522</f>
        <v>1640.515742558493</v>
      </c>
      <c r="R522" s="23"/>
      <c r="S522" s="28">
        <f t="shared" si="53"/>
        <v>11150.095923735684</v>
      </c>
      <c r="T522" s="23"/>
    </row>
    <row r="523" spans="1:20" x14ac:dyDescent="0.25">
      <c r="A523">
        <f t="shared" si="54"/>
        <v>3</v>
      </c>
      <c r="B523" s="231">
        <f t="shared" si="54"/>
        <v>2020</v>
      </c>
      <c r="C523" s="238">
        <v>0</v>
      </c>
      <c r="D523" s="20">
        <f t="shared" si="55"/>
        <v>47</v>
      </c>
      <c r="E523" s="156">
        <v>1</v>
      </c>
      <c r="F523" s="324">
        <f t="shared" si="45"/>
        <v>389861.75115207379</v>
      </c>
      <c r="G523" s="27">
        <f t="shared" si="46"/>
        <v>3269.0819918074762</v>
      </c>
      <c r="H523" s="321">
        <f t="shared" si="47"/>
        <v>405456.22119815677</v>
      </c>
      <c r="I523" s="315">
        <f t="shared" si="48"/>
        <v>363090.1287553648</v>
      </c>
      <c r="J523" s="27">
        <f t="shared" si="49"/>
        <v>4089.3398630867227</v>
      </c>
      <c r="K523" s="325">
        <f t="shared" si="50"/>
        <v>929510.72961373394</v>
      </c>
      <c r="L523" s="28">
        <f t="shared" si="51"/>
        <v>524054.50841557718</v>
      </c>
      <c r="M523" s="28">
        <f t="shared" ref="M523:M538" si="58">M522+L523</f>
        <v>1048109.0168311544</v>
      </c>
      <c r="N523" s="28">
        <f>(C523*Assumptions!$B$5)*((1+'Economic Competitiveness'!$E$48)^2)</f>
        <v>0</v>
      </c>
      <c r="O523" s="28">
        <f t="shared" si="56"/>
        <v>1572163.5252467315</v>
      </c>
      <c r="P523" s="27">
        <f t="shared" si="52"/>
        <v>820.2578712792465</v>
      </c>
      <c r="Q523" s="27">
        <f t="shared" si="57"/>
        <v>2460.7736138377395</v>
      </c>
      <c r="R523" s="23"/>
      <c r="S523" s="28">
        <f t="shared" si="53"/>
        <v>11150.095923735684</v>
      </c>
      <c r="T523" s="23"/>
    </row>
    <row r="524" spans="1:20" x14ac:dyDescent="0.25">
      <c r="A524">
        <f t="shared" si="54"/>
        <v>4</v>
      </c>
      <c r="B524" s="231">
        <f t="shared" si="54"/>
        <v>2021</v>
      </c>
      <c r="C524" s="238">
        <v>3</v>
      </c>
      <c r="D524" s="20">
        <f t="shared" si="55"/>
        <v>50</v>
      </c>
      <c r="E524" s="156">
        <v>1</v>
      </c>
      <c r="F524" s="324">
        <f t="shared" si="45"/>
        <v>414746.54377880186</v>
      </c>
      <c r="G524" s="27">
        <f t="shared" si="46"/>
        <v>3477.7467997951862</v>
      </c>
      <c r="H524" s="321">
        <f t="shared" si="47"/>
        <v>431336.40552995395</v>
      </c>
      <c r="I524" s="315">
        <f t="shared" si="48"/>
        <v>386266.09442060086</v>
      </c>
      <c r="J524" s="27">
        <f t="shared" si="49"/>
        <v>4350.3615564752363</v>
      </c>
      <c r="K524" s="325">
        <f t="shared" si="50"/>
        <v>988841.20171673817</v>
      </c>
      <c r="L524" s="28">
        <f t="shared" si="51"/>
        <v>557504.79618678428</v>
      </c>
      <c r="M524" s="28">
        <f t="shared" si="58"/>
        <v>1605613.8130179388</v>
      </c>
      <c r="N524" s="28">
        <f>(C524*Assumptions!$B$5)*((1+'Economic Competitiveness'!$E$48)^2)</f>
        <v>126248.06093903459</v>
      </c>
      <c r="O524" s="28">
        <f t="shared" si="56"/>
        <v>2003420.2604944811</v>
      </c>
      <c r="P524" s="27">
        <f t="shared" si="52"/>
        <v>872.61475668005005</v>
      </c>
      <c r="Q524" s="27">
        <f t="shared" si="57"/>
        <v>3333.3883705177896</v>
      </c>
      <c r="R524" s="23"/>
      <c r="S524" s="28">
        <f t="shared" si="53"/>
        <v>11150.095923735686</v>
      </c>
      <c r="T524" s="23"/>
    </row>
    <row r="525" spans="1:20" x14ac:dyDescent="0.25">
      <c r="A525">
        <f t="shared" si="54"/>
        <v>5</v>
      </c>
      <c r="B525" s="231">
        <f t="shared" si="54"/>
        <v>2022</v>
      </c>
      <c r="C525" s="238">
        <f>'Environmental Protection'!C42-'Environmental Protection'!C41</f>
        <v>10</v>
      </c>
      <c r="D525" s="20">
        <f t="shared" si="55"/>
        <v>60</v>
      </c>
      <c r="E525" s="156">
        <v>1</v>
      </c>
      <c r="F525" s="324">
        <f t="shared" si="45"/>
        <v>497695.85253456223</v>
      </c>
      <c r="G525" s="27">
        <f t="shared" si="46"/>
        <v>4173.2961597542244</v>
      </c>
      <c r="H525" s="321">
        <f t="shared" si="47"/>
        <v>517603.68663594476</v>
      </c>
      <c r="I525" s="315">
        <f t="shared" si="48"/>
        <v>463519.31330472103</v>
      </c>
      <c r="J525" s="27">
        <f t="shared" si="49"/>
        <v>5220.4338677702854</v>
      </c>
      <c r="K525" s="325">
        <f t="shared" si="50"/>
        <v>1186609.4420600859</v>
      </c>
      <c r="L525" s="28">
        <f t="shared" si="51"/>
        <v>669005.75542414119</v>
      </c>
      <c r="M525" s="28">
        <f t="shared" si="58"/>
        <v>2274619.5684420802</v>
      </c>
      <c r="N525" s="28">
        <f>(C525*Assumptions!$B$5)*((1+'Economic Competitiveness'!$E$48)^2)</f>
        <v>420826.86979678198</v>
      </c>
      <c r="O525" s="28">
        <f t="shared" si="56"/>
        <v>2251599.1461218405</v>
      </c>
      <c r="P525" s="27">
        <f t="shared" si="52"/>
        <v>1047.137708016061</v>
      </c>
      <c r="Q525" s="27">
        <f t="shared" si="57"/>
        <v>4380.5260785338505</v>
      </c>
      <c r="R525" s="23"/>
      <c r="S525" s="28">
        <f t="shared" si="53"/>
        <v>11150.095923735686</v>
      </c>
      <c r="T525" s="23"/>
    </row>
    <row r="526" spans="1:20" x14ac:dyDescent="0.25">
      <c r="A526">
        <f t="shared" si="54"/>
        <v>6</v>
      </c>
      <c r="B526" s="231">
        <f t="shared" si="54"/>
        <v>2023</v>
      </c>
      <c r="C526" s="238">
        <f>'Environmental Protection'!C43-'Environmental Protection'!C42</f>
        <v>5</v>
      </c>
      <c r="D526" s="20">
        <f t="shared" si="55"/>
        <v>65</v>
      </c>
      <c r="E526" s="156">
        <v>1</v>
      </c>
      <c r="F526" s="324">
        <f t="shared" si="45"/>
        <v>539170.50691244239</v>
      </c>
      <c r="G526" s="27">
        <f t="shared" si="46"/>
        <v>4521.070839733743</v>
      </c>
      <c r="H526" s="321">
        <f t="shared" si="47"/>
        <v>560737.32718894014</v>
      </c>
      <c r="I526" s="315">
        <f t="shared" si="48"/>
        <v>502145.92274678109</v>
      </c>
      <c r="J526" s="27">
        <f t="shared" si="49"/>
        <v>5655.4700234178081</v>
      </c>
      <c r="K526" s="325">
        <f t="shared" si="50"/>
        <v>1285493.5622317595</v>
      </c>
      <c r="L526" s="28">
        <f t="shared" si="51"/>
        <v>724756.2350428194</v>
      </c>
      <c r="M526" s="28">
        <f t="shared" si="58"/>
        <v>2999375.8034848995</v>
      </c>
      <c r="N526" s="28">
        <f>(C526*Assumptions!$B$5)*((1+'Economic Competitiveness'!$E$48)^2)</f>
        <v>210413.43489839099</v>
      </c>
      <c r="O526" s="28">
        <f t="shared" si="56"/>
        <v>2765941.9462662688</v>
      </c>
      <c r="P526" s="27">
        <f t="shared" si="52"/>
        <v>1134.3991836840651</v>
      </c>
      <c r="Q526" s="27">
        <f t="shared" si="57"/>
        <v>5514.9252622179156</v>
      </c>
      <c r="R526" s="23"/>
      <c r="S526" s="28">
        <f t="shared" si="53"/>
        <v>11150.095923735684</v>
      </c>
      <c r="T526" s="23"/>
    </row>
    <row r="527" spans="1:20" x14ac:dyDescent="0.25">
      <c r="A527">
        <f t="shared" si="54"/>
        <v>7</v>
      </c>
      <c r="B527" s="231">
        <f t="shared" si="54"/>
        <v>2024</v>
      </c>
      <c r="C527" s="238">
        <f>'Environmental Protection'!C44-'Environmental Protection'!C43</f>
        <v>10</v>
      </c>
      <c r="D527" s="20">
        <f t="shared" si="55"/>
        <v>75</v>
      </c>
      <c r="E527" s="156">
        <v>1</v>
      </c>
      <c r="F527" s="324">
        <f t="shared" si="45"/>
        <v>622119.81566820282</v>
      </c>
      <c r="G527" s="27">
        <f t="shared" si="46"/>
        <v>5216.6201996927812</v>
      </c>
      <c r="H527" s="321">
        <f t="shared" si="47"/>
        <v>647004.60829493101</v>
      </c>
      <c r="I527" s="315">
        <f t="shared" si="48"/>
        <v>579399.14163090126</v>
      </c>
      <c r="J527" s="27">
        <f t="shared" si="49"/>
        <v>6525.5423347128553</v>
      </c>
      <c r="K527" s="325">
        <f t="shared" si="50"/>
        <v>1483261.8025751072</v>
      </c>
      <c r="L527" s="28">
        <f t="shared" si="51"/>
        <v>836257.19428017619</v>
      </c>
      <c r="M527" s="28">
        <f t="shared" si="58"/>
        <v>3835632.9977650754</v>
      </c>
      <c r="N527" s="28">
        <f>(C527*Assumptions!$B$5)*((1+'Economic Competitiveness'!$E$48)^2)</f>
        <v>420826.86979678198</v>
      </c>
      <c r="O527" s="28">
        <f t="shared" si="56"/>
        <v>3181372.270749663</v>
      </c>
      <c r="P527" s="27">
        <f t="shared" si="52"/>
        <v>1308.9221350200742</v>
      </c>
      <c r="Q527" s="27">
        <f t="shared" si="57"/>
        <v>6823.8473972379898</v>
      </c>
      <c r="R527" s="23"/>
      <c r="S527" s="28">
        <f t="shared" si="53"/>
        <v>11150.095923735682</v>
      </c>
      <c r="T527" s="23"/>
    </row>
    <row r="528" spans="1:20" x14ac:dyDescent="0.25">
      <c r="A528">
        <f t="shared" si="54"/>
        <v>8</v>
      </c>
      <c r="B528" s="231">
        <f t="shared" si="54"/>
        <v>2025</v>
      </c>
      <c r="C528" s="238">
        <f>'Environmental Protection'!C45-'Environmental Protection'!C44</f>
        <v>0</v>
      </c>
      <c r="D528" s="20">
        <f t="shared" si="55"/>
        <v>75</v>
      </c>
      <c r="E528" s="156">
        <v>1</v>
      </c>
      <c r="F528" s="324">
        <f t="shared" si="45"/>
        <v>622119.81566820282</v>
      </c>
      <c r="G528" s="27">
        <f t="shared" si="46"/>
        <v>5216.6201996927812</v>
      </c>
      <c r="H528" s="321">
        <f t="shared" si="47"/>
        <v>647004.60829493101</v>
      </c>
      <c r="I528" s="315">
        <f t="shared" si="48"/>
        <v>579399.14163090126</v>
      </c>
      <c r="J528" s="27">
        <f t="shared" si="49"/>
        <v>6525.5423347128553</v>
      </c>
      <c r="K528" s="325">
        <f t="shared" si="50"/>
        <v>1483261.8025751072</v>
      </c>
      <c r="L528" s="28">
        <f t="shared" si="51"/>
        <v>836257.19428017619</v>
      </c>
      <c r="M528" s="28">
        <f t="shared" si="58"/>
        <v>4671890.1920452518</v>
      </c>
      <c r="N528" s="28">
        <f>(C528*Assumptions!$B$5)*((1+'Economic Competitiveness'!$E$48)^2)</f>
        <v>0</v>
      </c>
      <c r="O528" s="28">
        <f t="shared" si="56"/>
        <v>4017629.4650298394</v>
      </c>
      <c r="P528" s="27">
        <f t="shared" si="52"/>
        <v>1308.9221350200742</v>
      </c>
      <c r="Q528" s="27">
        <f t="shared" si="57"/>
        <v>8132.7695322580639</v>
      </c>
      <c r="R528" s="23"/>
      <c r="S528" s="28">
        <f t="shared" si="53"/>
        <v>11150.095923735682</v>
      </c>
      <c r="T528" s="23"/>
    </row>
    <row r="529" spans="1:20" x14ac:dyDescent="0.25">
      <c r="A529">
        <f t="shared" si="54"/>
        <v>9</v>
      </c>
      <c r="B529" s="231">
        <f t="shared" si="54"/>
        <v>2026</v>
      </c>
      <c r="C529" s="238">
        <f>'Environmental Protection'!C46-'Environmental Protection'!C45</f>
        <v>0</v>
      </c>
      <c r="D529" s="20">
        <f t="shared" si="55"/>
        <v>75</v>
      </c>
      <c r="E529" s="156">
        <v>1</v>
      </c>
      <c r="F529" s="324">
        <f t="shared" si="45"/>
        <v>622119.81566820282</v>
      </c>
      <c r="G529" s="27">
        <f t="shared" si="46"/>
        <v>5216.6201996927812</v>
      </c>
      <c r="H529" s="321">
        <f t="shared" si="47"/>
        <v>647004.60829493101</v>
      </c>
      <c r="I529" s="315">
        <f t="shared" si="48"/>
        <v>579399.14163090126</v>
      </c>
      <c r="J529" s="27">
        <f t="shared" si="49"/>
        <v>6525.5423347128553</v>
      </c>
      <c r="K529" s="325">
        <f t="shared" si="50"/>
        <v>1483261.8025751072</v>
      </c>
      <c r="L529" s="28">
        <f t="shared" si="51"/>
        <v>836257.19428017619</v>
      </c>
      <c r="M529" s="28">
        <f t="shared" si="58"/>
        <v>5508147.3863254283</v>
      </c>
      <c r="N529" s="28">
        <f>(C529*Assumptions!$B$5)*((1+'Economic Competitiveness'!$E$48)^2)</f>
        <v>0</v>
      </c>
      <c r="O529" s="28">
        <f t="shared" si="56"/>
        <v>4853886.6593100158</v>
      </c>
      <c r="P529" s="27">
        <f t="shared" si="52"/>
        <v>1308.9221350200742</v>
      </c>
      <c r="Q529" s="27">
        <f t="shared" si="57"/>
        <v>9441.6916672781372</v>
      </c>
      <c r="R529" s="23"/>
      <c r="S529" s="28">
        <f t="shared" si="53"/>
        <v>11150.095923735682</v>
      </c>
      <c r="T529" s="23"/>
    </row>
    <row r="530" spans="1:20" x14ac:dyDescent="0.25">
      <c r="A530">
        <f t="shared" si="54"/>
        <v>10</v>
      </c>
      <c r="B530" s="231">
        <f t="shared" si="54"/>
        <v>2027</v>
      </c>
      <c r="C530" s="238">
        <f>'Environmental Protection'!C47-'Environmental Protection'!C46</f>
        <v>0</v>
      </c>
      <c r="D530" s="20">
        <f t="shared" si="55"/>
        <v>75</v>
      </c>
      <c r="E530" s="156">
        <v>1</v>
      </c>
      <c r="F530" s="324">
        <f t="shared" si="45"/>
        <v>622119.81566820282</v>
      </c>
      <c r="G530" s="27">
        <f t="shared" si="46"/>
        <v>5216.6201996927812</v>
      </c>
      <c r="H530" s="321">
        <f t="shared" si="47"/>
        <v>647004.60829493101</v>
      </c>
      <c r="I530" s="315">
        <f t="shared" si="48"/>
        <v>579399.14163090126</v>
      </c>
      <c r="J530" s="27">
        <f t="shared" si="49"/>
        <v>6525.5423347128553</v>
      </c>
      <c r="K530" s="325">
        <f t="shared" si="50"/>
        <v>1483261.8025751072</v>
      </c>
      <c r="L530" s="28">
        <f t="shared" si="51"/>
        <v>836257.19428017619</v>
      </c>
      <c r="M530" s="28">
        <f t="shared" si="58"/>
        <v>6344404.5806056047</v>
      </c>
      <c r="N530" s="28">
        <f>(C530*Assumptions!$B$5)*((1+'Economic Competitiveness'!$E$48)^2)</f>
        <v>0</v>
      </c>
      <c r="O530" s="28">
        <f t="shared" si="56"/>
        <v>5690143.8535901923</v>
      </c>
      <c r="P530" s="27">
        <f t="shared" si="52"/>
        <v>1308.9221350200742</v>
      </c>
      <c r="Q530" s="27">
        <f t="shared" si="57"/>
        <v>10750.613802298212</v>
      </c>
      <c r="R530" s="23"/>
      <c r="S530" s="28">
        <f t="shared" si="53"/>
        <v>11150.095923735682</v>
      </c>
      <c r="T530" s="23"/>
    </row>
    <row r="531" spans="1:20" x14ac:dyDescent="0.25">
      <c r="A531">
        <f t="shared" si="54"/>
        <v>11</v>
      </c>
      <c r="B531" s="231">
        <f t="shared" si="54"/>
        <v>2028</v>
      </c>
      <c r="C531" s="238">
        <f>'Environmental Protection'!C48-'Environmental Protection'!C47</f>
        <v>0</v>
      </c>
      <c r="D531" s="20">
        <f t="shared" si="55"/>
        <v>75</v>
      </c>
      <c r="E531" s="156">
        <v>1</v>
      </c>
      <c r="F531" s="324">
        <f t="shared" si="45"/>
        <v>622119.81566820282</v>
      </c>
      <c r="G531" s="27">
        <f t="shared" si="46"/>
        <v>5216.6201996927812</v>
      </c>
      <c r="H531" s="321">
        <f t="shared" si="47"/>
        <v>647004.60829493101</v>
      </c>
      <c r="I531" s="315">
        <f t="shared" si="48"/>
        <v>579399.14163090126</v>
      </c>
      <c r="J531" s="27">
        <f t="shared" si="49"/>
        <v>6525.5423347128553</v>
      </c>
      <c r="K531" s="325">
        <f t="shared" si="50"/>
        <v>1483261.8025751072</v>
      </c>
      <c r="L531" s="28">
        <f t="shared" si="51"/>
        <v>836257.19428017619</v>
      </c>
      <c r="M531" s="28">
        <f t="shared" si="58"/>
        <v>7180661.7748857811</v>
      </c>
      <c r="N531" s="28">
        <f>(C531*Assumptions!$B$5)*((1+'Economic Competitiveness'!$E$48)^2)</f>
        <v>0</v>
      </c>
      <c r="O531" s="28">
        <f t="shared" si="56"/>
        <v>6526401.0478703687</v>
      </c>
      <c r="P531" s="27">
        <f t="shared" si="52"/>
        <v>1308.9221350200742</v>
      </c>
      <c r="Q531" s="27">
        <f t="shared" si="57"/>
        <v>12059.535937318287</v>
      </c>
      <c r="R531" s="23"/>
      <c r="S531" s="28">
        <f t="shared" si="53"/>
        <v>11150.095923735682</v>
      </c>
      <c r="T531" s="23"/>
    </row>
    <row r="532" spans="1:20" x14ac:dyDescent="0.25">
      <c r="A532">
        <f t="shared" si="54"/>
        <v>12</v>
      </c>
      <c r="B532" s="231">
        <f t="shared" si="54"/>
        <v>2029</v>
      </c>
      <c r="C532" s="238">
        <f>'Environmental Protection'!C49-'Environmental Protection'!C48</f>
        <v>0</v>
      </c>
      <c r="D532" s="20">
        <f t="shared" si="55"/>
        <v>75</v>
      </c>
      <c r="E532" s="156">
        <v>1</v>
      </c>
      <c r="F532" s="324">
        <f t="shared" si="45"/>
        <v>622119.81566820282</v>
      </c>
      <c r="G532" s="27">
        <f t="shared" si="46"/>
        <v>5216.6201996927812</v>
      </c>
      <c r="H532" s="321">
        <f t="shared" si="47"/>
        <v>647004.60829493101</v>
      </c>
      <c r="I532" s="315">
        <f t="shared" si="48"/>
        <v>579399.14163090126</v>
      </c>
      <c r="J532" s="27">
        <f t="shared" si="49"/>
        <v>6525.5423347128553</v>
      </c>
      <c r="K532" s="325">
        <f t="shared" si="50"/>
        <v>1483261.8025751072</v>
      </c>
      <c r="L532" s="28">
        <f t="shared" si="51"/>
        <v>836257.19428017619</v>
      </c>
      <c r="M532" s="28">
        <f t="shared" si="58"/>
        <v>8016918.9691659575</v>
      </c>
      <c r="N532" s="28">
        <f>(C532*Assumptions!$B$5)*((1+'Economic Competitiveness'!$E$48)^2)</f>
        <v>0</v>
      </c>
      <c r="O532" s="28">
        <f t="shared" si="56"/>
        <v>7362658.2421505451</v>
      </c>
      <c r="P532" s="27">
        <f t="shared" si="52"/>
        <v>1308.9221350200742</v>
      </c>
      <c r="Q532" s="27">
        <f t="shared" si="57"/>
        <v>13368.458072338362</v>
      </c>
      <c r="R532" s="23"/>
      <c r="S532" s="28">
        <f t="shared" si="53"/>
        <v>11150.095923735682</v>
      </c>
      <c r="T532" s="23"/>
    </row>
    <row r="533" spans="1:20" x14ac:dyDescent="0.25">
      <c r="A533">
        <f t="shared" si="54"/>
        <v>13</v>
      </c>
      <c r="B533" s="231">
        <f t="shared" si="54"/>
        <v>2030</v>
      </c>
      <c r="C533" s="238">
        <f>'Environmental Protection'!C50-'Environmental Protection'!C49</f>
        <v>0</v>
      </c>
      <c r="D533" s="20">
        <f t="shared" si="55"/>
        <v>75</v>
      </c>
      <c r="E533" s="156">
        <v>1</v>
      </c>
      <c r="F533" s="324">
        <f t="shared" si="45"/>
        <v>622119.81566820282</v>
      </c>
      <c r="G533" s="27">
        <f t="shared" si="46"/>
        <v>5216.6201996927812</v>
      </c>
      <c r="H533" s="321">
        <f t="shared" si="47"/>
        <v>647004.60829493101</v>
      </c>
      <c r="I533" s="315">
        <f t="shared" si="48"/>
        <v>579399.14163090126</v>
      </c>
      <c r="J533" s="27">
        <f t="shared" si="49"/>
        <v>6525.5423347128553</v>
      </c>
      <c r="K533" s="325">
        <f t="shared" si="50"/>
        <v>1483261.8025751072</v>
      </c>
      <c r="L533" s="28">
        <f t="shared" si="51"/>
        <v>836257.19428017619</v>
      </c>
      <c r="M533" s="28">
        <f t="shared" si="58"/>
        <v>8853176.163446134</v>
      </c>
      <c r="N533" s="28">
        <f>(C533*Assumptions!$B$5)*((1+'Economic Competitiveness'!$E$48)^2)</f>
        <v>0</v>
      </c>
      <c r="O533" s="28">
        <f t="shared" si="56"/>
        <v>8198915.4364307215</v>
      </c>
      <c r="P533" s="27">
        <f t="shared" si="52"/>
        <v>1308.9221350200742</v>
      </c>
      <c r="Q533" s="27">
        <f t="shared" si="57"/>
        <v>14677.380207358437</v>
      </c>
      <c r="R533" s="23"/>
      <c r="S533" s="28">
        <f t="shared" si="53"/>
        <v>11150.095923735682</v>
      </c>
      <c r="T533" s="23"/>
    </row>
    <row r="534" spans="1:20" x14ac:dyDescent="0.25">
      <c r="A534">
        <f t="shared" si="54"/>
        <v>14</v>
      </c>
      <c r="B534" s="231">
        <f t="shared" si="54"/>
        <v>2031</v>
      </c>
      <c r="C534" s="238">
        <f>'Environmental Protection'!C51-'Environmental Protection'!C50</f>
        <v>0</v>
      </c>
      <c r="D534" s="20">
        <f t="shared" si="55"/>
        <v>75</v>
      </c>
      <c r="E534" s="156">
        <v>1</v>
      </c>
      <c r="F534" s="324">
        <f t="shared" si="45"/>
        <v>622119.81566820282</v>
      </c>
      <c r="G534" s="27">
        <f t="shared" si="46"/>
        <v>5216.6201996927812</v>
      </c>
      <c r="H534" s="321">
        <f t="shared" si="47"/>
        <v>647004.60829493101</v>
      </c>
      <c r="I534" s="315">
        <f t="shared" si="48"/>
        <v>579399.14163090126</v>
      </c>
      <c r="J534" s="27">
        <f t="shared" si="49"/>
        <v>6525.5423347128553</v>
      </c>
      <c r="K534" s="325">
        <f t="shared" si="50"/>
        <v>1483261.8025751072</v>
      </c>
      <c r="L534" s="28">
        <f t="shared" si="51"/>
        <v>836257.19428017619</v>
      </c>
      <c r="M534" s="28">
        <f t="shared" si="58"/>
        <v>9689433.3577263094</v>
      </c>
      <c r="N534" s="28">
        <f>(C534*Assumptions!$B$5)*((1+'Economic Competitiveness'!$E$48)^2)</f>
        <v>0</v>
      </c>
      <c r="O534" s="28">
        <f t="shared" si="56"/>
        <v>9035172.630710898</v>
      </c>
      <c r="P534" s="27">
        <f t="shared" si="52"/>
        <v>1308.9221350200742</v>
      </c>
      <c r="Q534" s="27">
        <f t="shared" si="57"/>
        <v>15986.302342378513</v>
      </c>
      <c r="R534" s="23"/>
      <c r="S534" s="28">
        <f t="shared" si="53"/>
        <v>11150.095923735682</v>
      </c>
      <c r="T534" s="23"/>
    </row>
    <row r="535" spans="1:20" x14ac:dyDescent="0.25">
      <c r="A535">
        <f t="shared" si="54"/>
        <v>15</v>
      </c>
      <c r="B535" s="231">
        <f t="shared" si="54"/>
        <v>2032</v>
      </c>
      <c r="C535" s="238">
        <f>'Environmental Protection'!C52-'Environmental Protection'!C51</f>
        <v>0</v>
      </c>
      <c r="D535" s="20">
        <f t="shared" si="55"/>
        <v>75</v>
      </c>
      <c r="E535" s="156">
        <v>1</v>
      </c>
      <c r="F535" s="324">
        <f t="shared" si="45"/>
        <v>622119.81566820282</v>
      </c>
      <c r="G535" s="27">
        <f t="shared" si="46"/>
        <v>5216.6201996927812</v>
      </c>
      <c r="H535" s="321">
        <f t="shared" si="47"/>
        <v>647004.60829493101</v>
      </c>
      <c r="I535" s="315">
        <f t="shared" si="48"/>
        <v>579399.14163090126</v>
      </c>
      <c r="J535" s="27">
        <f t="shared" si="49"/>
        <v>6525.5423347128553</v>
      </c>
      <c r="K535" s="325">
        <f t="shared" si="50"/>
        <v>1483261.8025751072</v>
      </c>
      <c r="L535" s="28">
        <f t="shared" si="51"/>
        <v>836257.19428017619</v>
      </c>
      <c r="M535" s="28">
        <f t="shared" si="58"/>
        <v>10525690.552006485</v>
      </c>
      <c r="N535" s="28">
        <f>(C535*Assumptions!$B$5)*((1+'Economic Competitiveness'!$E$48)^2)</f>
        <v>0</v>
      </c>
      <c r="O535" s="28">
        <f t="shared" si="56"/>
        <v>9871429.8249910735</v>
      </c>
      <c r="P535" s="27">
        <f t="shared" si="52"/>
        <v>1308.9221350200742</v>
      </c>
      <c r="Q535" s="27">
        <f t="shared" si="57"/>
        <v>17295.224477398588</v>
      </c>
      <c r="R535" s="23"/>
      <c r="S535" s="28">
        <f t="shared" si="53"/>
        <v>11150.095923735682</v>
      </c>
      <c r="T535" s="23"/>
    </row>
    <row r="536" spans="1:20" x14ac:dyDescent="0.25">
      <c r="A536">
        <f t="shared" si="54"/>
        <v>16</v>
      </c>
      <c r="B536" s="231">
        <f t="shared" si="54"/>
        <v>2033</v>
      </c>
      <c r="C536" s="238">
        <f>'Environmental Protection'!C53-'Environmental Protection'!C52</f>
        <v>0</v>
      </c>
      <c r="D536" s="20">
        <f t="shared" si="55"/>
        <v>75</v>
      </c>
      <c r="E536" s="156">
        <v>1</v>
      </c>
      <c r="F536" s="324">
        <f t="shared" si="45"/>
        <v>622119.81566820282</v>
      </c>
      <c r="G536" s="27">
        <f t="shared" si="46"/>
        <v>5216.6201996927812</v>
      </c>
      <c r="H536" s="321">
        <f t="shared" si="47"/>
        <v>647004.60829493101</v>
      </c>
      <c r="I536" s="315">
        <f t="shared" si="48"/>
        <v>579399.14163090126</v>
      </c>
      <c r="J536" s="27">
        <f t="shared" si="49"/>
        <v>6525.5423347128553</v>
      </c>
      <c r="K536" s="325">
        <f t="shared" si="50"/>
        <v>1483261.8025751072</v>
      </c>
      <c r="L536" s="28">
        <f t="shared" si="51"/>
        <v>836257.19428017619</v>
      </c>
      <c r="M536" s="28">
        <f t="shared" si="58"/>
        <v>11361947.74628666</v>
      </c>
      <c r="N536" s="28">
        <f>(C536*Assumptions!$B$5)*((1+'Economic Competitiveness'!$E$48)^2)</f>
        <v>0</v>
      </c>
      <c r="O536" s="28">
        <f t="shared" si="56"/>
        <v>10707687.019271249</v>
      </c>
      <c r="P536" s="27">
        <f t="shared" si="52"/>
        <v>1308.9221350200742</v>
      </c>
      <c r="Q536" s="27">
        <f t="shared" si="57"/>
        <v>18604.146612418663</v>
      </c>
      <c r="R536" s="23"/>
      <c r="S536" s="28">
        <f t="shared" si="53"/>
        <v>11150.095923735682</v>
      </c>
      <c r="T536" s="23"/>
    </row>
    <row r="537" spans="1:20" x14ac:dyDescent="0.25">
      <c r="A537">
        <f t="shared" si="54"/>
        <v>17</v>
      </c>
      <c r="B537" s="231">
        <f t="shared" si="54"/>
        <v>2034</v>
      </c>
      <c r="C537" s="238">
        <f>'Environmental Protection'!C54-'Environmental Protection'!C53</f>
        <v>0</v>
      </c>
      <c r="D537" s="20">
        <f t="shared" si="55"/>
        <v>75</v>
      </c>
      <c r="E537" s="156">
        <v>1</v>
      </c>
      <c r="F537" s="324">
        <f t="shared" si="45"/>
        <v>622119.81566820282</v>
      </c>
      <c r="G537" s="27">
        <f t="shared" si="46"/>
        <v>5216.6201996927812</v>
      </c>
      <c r="H537" s="321">
        <f t="shared" si="47"/>
        <v>647004.60829493101</v>
      </c>
      <c r="I537" s="315">
        <f t="shared" si="48"/>
        <v>579399.14163090126</v>
      </c>
      <c r="J537" s="27">
        <f t="shared" si="49"/>
        <v>6525.5423347128553</v>
      </c>
      <c r="K537" s="325">
        <f t="shared" si="50"/>
        <v>1483261.8025751072</v>
      </c>
      <c r="L537" s="28">
        <f t="shared" si="51"/>
        <v>836257.19428017619</v>
      </c>
      <c r="M537" s="28">
        <f t="shared" si="58"/>
        <v>12198204.940566836</v>
      </c>
      <c r="N537" s="28">
        <f>(C537*Assumptions!$B$5)*((1+'Economic Competitiveness'!$E$48)^2)</f>
        <v>0</v>
      </c>
      <c r="O537" s="28">
        <f t="shared" si="56"/>
        <v>11543944.213551424</v>
      </c>
      <c r="P537" s="27">
        <f t="shared" si="52"/>
        <v>1308.9221350200742</v>
      </c>
      <c r="Q537" s="27">
        <f t="shared" si="57"/>
        <v>19913.068747438738</v>
      </c>
      <c r="R537" s="23"/>
      <c r="S537" s="28">
        <f t="shared" si="53"/>
        <v>11150.095923735682</v>
      </c>
      <c r="T537" s="23"/>
    </row>
    <row r="538" spans="1:20" x14ac:dyDescent="0.25">
      <c r="A538">
        <f t="shared" si="54"/>
        <v>18</v>
      </c>
      <c r="B538" s="231">
        <f t="shared" si="54"/>
        <v>2035</v>
      </c>
      <c r="C538" s="238">
        <f>'Environmental Protection'!C55-'Environmental Protection'!C54</f>
        <v>0</v>
      </c>
      <c r="D538" s="20">
        <f t="shared" si="55"/>
        <v>75</v>
      </c>
      <c r="E538" s="156">
        <v>1</v>
      </c>
      <c r="F538" s="324">
        <f t="shared" si="45"/>
        <v>622119.81566820282</v>
      </c>
      <c r="G538" s="27">
        <f t="shared" si="46"/>
        <v>5216.6201996927812</v>
      </c>
      <c r="H538" s="321">
        <f t="shared" si="47"/>
        <v>647004.60829493101</v>
      </c>
      <c r="I538" s="315">
        <f t="shared" si="48"/>
        <v>579399.14163090126</v>
      </c>
      <c r="J538" s="27">
        <f t="shared" si="49"/>
        <v>6525.5423347128553</v>
      </c>
      <c r="K538" s="325">
        <f t="shared" si="50"/>
        <v>1483261.8025751072</v>
      </c>
      <c r="L538" s="28">
        <f t="shared" si="51"/>
        <v>836257.19428017619</v>
      </c>
      <c r="M538" s="28">
        <f t="shared" si="58"/>
        <v>13034462.134847011</v>
      </c>
      <c r="N538" s="28">
        <f>(C538*Assumptions!$B$5)*((1+'Economic Competitiveness'!$E$48)^2)</f>
        <v>0</v>
      </c>
      <c r="O538" s="28">
        <f t="shared" si="56"/>
        <v>12380201.4078316</v>
      </c>
      <c r="P538" s="148">
        <f t="shared" si="52"/>
        <v>1308.9221350200742</v>
      </c>
      <c r="Q538" s="148">
        <f t="shared" si="57"/>
        <v>21221.990882458813</v>
      </c>
      <c r="R538" s="23"/>
      <c r="S538" s="28">
        <f t="shared" si="53"/>
        <v>11150.095923735682</v>
      </c>
      <c r="T538" s="23"/>
    </row>
    <row r="539" spans="1:20" x14ac:dyDescent="0.25">
      <c r="A539">
        <f t="shared" si="54"/>
        <v>19</v>
      </c>
      <c r="B539" s="231">
        <f t="shared" si="54"/>
        <v>2036</v>
      </c>
      <c r="C539" s="238">
        <f>'Environmental Protection'!C56-'Environmental Protection'!C55</f>
        <v>0</v>
      </c>
      <c r="D539" s="20">
        <f t="shared" si="55"/>
        <v>75</v>
      </c>
      <c r="E539" s="156">
        <v>1</v>
      </c>
      <c r="F539" s="324">
        <f t="shared" si="45"/>
        <v>622119.81566820282</v>
      </c>
      <c r="G539" s="27">
        <f t="shared" si="46"/>
        <v>5216.6201996927812</v>
      </c>
      <c r="H539" s="321">
        <f t="shared" ref="H539:H555" si="59">F539*C$485</f>
        <v>647004.60829493101</v>
      </c>
      <c r="I539" s="315">
        <f t="shared" si="48"/>
        <v>579399.14163090126</v>
      </c>
      <c r="J539" s="27">
        <f t="shared" si="49"/>
        <v>6525.5423347128553</v>
      </c>
      <c r="K539" s="325">
        <f t="shared" ref="K539:K555" si="60">I539*C$484</f>
        <v>1483261.8025751072</v>
      </c>
      <c r="L539" s="28">
        <f t="shared" si="51"/>
        <v>836257.19428017619</v>
      </c>
      <c r="M539" s="28">
        <f t="shared" ref="M539:M555" si="61">M538+L539</f>
        <v>13870719.329127187</v>
      </c>
      <c r="N539" s="28">
        <f>(C539*Assumptions!$B$5)*((1+'Economic Competitiveness'!$E$48)^2)</f>
        <v>0</v>
      </c>
      <c r="O539" s="28">
        <f t="shared" ref="O539:O555" si="62">L539+O538-N539</f>
        <v>13216458.602111775</v>
      </c>
      <c r="P539" s="148">
        <f t="shared" ref="P539:P555" si="63">J539-G539</f>
        <v>1308.9221350200742</v>
      </c>
      <c r="Q539" s="148">
        <f t="shared" ref="Q539:Q555" si="64">Q538+P539</f>
        <v>22530.913017478888</v>
      </c>
      <c r="R539" s="23"/>
      <c r="S539" s="28">
        <f t="shared" ref="S539:S555" si="65">L539/D539</f>
        <v>11150.095923735682</v>
      </c>
      <c r="T539" s="23"/>
    </row>
    <row r="540" spans="1:20" x14ac:dyDescent="0.25">
      <c r="A540">
        <f t="shared" si="54"/>
        <v>20</v>
      </c>
      <c r="B540" s="231">
        <f t="shared" si="54"/>
        <v>2037</v>
      </c>
      <c r="C540" s="238">
        <f>'Environmental Protection'!C57-'Environmental Protection'!C56</f>
        <v>0</v>
      </c>
      <c r="D540" s="20">
        <f t="shared" si="55"/>
        <v>75</v>
      </c>
      <c r="E540" s="156">
        <v>1</v>
      </c>
      <c r="F540" s="324">
        <f t="shared" si="45"/>
        <v>622119.81566820282</v>
      </c>
      <c r="G540" s="27">
        <f t="shared" si="46"/>
        <v>5216.6201996927812</v>
      </c>
      <c r="H540" s="321">
        <f t="shared" si="59"/>
        <v>647004.60829493101</v>
      </c>
      <c r="I540" s="315">
        <f t="shared" si="48"/>
        <v>579399.14163090126</v>
      </c>
      <c r="J540" s="27">
        <f t="shared" si="49"/>
        <v>6525.5423347128553</v>
      </c>
      <c r="K540" s="325">
        <f t="shared" si="60"/>
        <v>1483261.8025751072</v>
      </c>
      <c r="L540" s="28">
        <f t="shared" si="51"/>
        <v>836257.19428017619</v>
      </c>
      <c r="M540" s="28">
        <f t="shared" si="61"/>
        <v>14706976.523407362</v>
      </c>
      <c r="N540" s="28">
        <f>(C540*Assumptions!$B$5)*((1+'Economic Competitiveness'!$E$48)^2)</f>
        <v>0</v>
      </c>
      <c r="O540" s="28">
        <f t="shared" si="62"/>
        <v>14052715.796391951</v>
      </c>
      <c r="P540" s="148">
        <f t="shared" si="63"/>
        <v>1308.9221350200742</v>
      </c>
      <c r="Q540" s="148">
        <f t="shared" si="64"/>
        <v>23839.835152498963</v>
      </c>
      <c r="R540" s="23"/>
      <c r="S540" s="28">
        <f t="shared" si="65"/>
        <v>11150.095923735682</v>
      </c>
      <c r="T540" s="23"/>
    </row>
    <row r="541" spans="1:20" x14ac:dyDescent="0.25">
      <c r="A541">
        <f t="shared" si="54"/>
        <v>21</v>
      </c>
      <c r="B541" s="231">
        <f t="shared" si="54"/>
        <v>2038</v>
      </c>
      <c r="C541" s="238">
        <f>'Environmental Protection'!C58-'Environmental Protection'!C57</f>
        <v>0</v>
      </c>
      <c r="D541" s="20">
        <f t="shared" si="55"/>
        <v>75</v>
      </c>
      <c r="E541" s="156">
        <v>1</v>
      </c>
      <c r="F541" s="324">
        <f t="shared" si="45"/>
        <v>622119.81566820282</v>
      </c>
      <c r="G541" s="27">
        <f t="shared" si="46"/>
        <v>5216.6201996927812</v>
      </c>
      <c r="H541" s="321">
        <f t="shared" si="59"/>
        <v>647004.60829493101</v>
      </c>
      <c r="I541" s="315">
        <f t="shared" si="48"/>
        <v>579399.14163090126</v>
      </c>
      <c r="J541" s="27">
        <f t="shared" si="49"/>
        <v>6525.5423347128553</v>
      </c>
      <c r="K541" s="325">
        <f t="shared" si="60"/>
        <v>1483261.8025751072</v>
      </c>
      <c r="L541" s="28">
        <f t="shared" si="51"/>
        <v>836257.19428017619</v>
      </c>
      <c r="M541" s="28">
        <f t="shared" si="61"/>
        <v>15543233.717687538</v>
      </c>
      <c r="N541" s="28">
        <f>(C541*Assumptions!$B$5)*((1+'Economic Competitiveness'!$E$48)^2)</f>
        <v>0</v>
      </c>
      <c r="O541" s="28">
        <f t="shared" si="62"/>
        <v>14888972.990672126</v>
      </c>
      <c r="P541" s="148">
        <f t="shared" si="63"/>
        <v>1308.9221350200742</v>
      </c>
      <c r="Q541" s="148">
        <f t="shared" si="64"/>
        <v>25148.757287519038</v>
      </c>
      <c r="R541" s="23"/>
      <c r="S541" s="28">
        <f t="shared" si="65"/>
        <v>11150.095923735682</v>
      </c>
      <c r="T541" s="23"/>
    </row>
    <row r="542" spans="1:20" x14ac:dyDescent="0.25">
      <c r="A542">
        <f t="shared" si="54"/>
        <v>22</v>
      </c>
      <c r="B542" s="231">
        <f t="shared" si="54"/>
        <v>2039</v>
      </c>
      <c r="C542" s="238">
        <f>'Environmental Protection'!C59-'Environmental Protection'!C58</f>
        <v>0</v>
      </c>
      <c r="D542" s="20">
        <f t="shared" si="55"/>
        <v>75</v>
      </c>
      <c r="E542" s="156">
        <v>1</v>
      </c>
      <c r="F542" s="324">
        <f t="shared" si="45"/>
        <v>622119.81566820282</v>
      </c>
      <c r="G542" s="27">
        <f t="shared" si="46"/>
        <v>5216.6201996927812</v>
      </c>
      <c r="H542" s="321">
        <f t="shared" si="59"/>
        <v>647004.60829493101</v>
      </c>
      <c r="I542" s="315">
        <f t="shared" si="48"/>
        <v>579399.14163090126</v>
      </c>
      <c r="J542" s="27">
        <f t="shared" si="49"/>
        <v>6525.5423347128553</v>
      </c>
      <c r="K542" s="325">
        <f t="shared" si="60"/>
        <v>1483261.8025751072</v>
      </c>
      <c r="L542" s="28">
        <f t="shared" si="51"/>
        <v>836257.19428017619</v>
      </c>
      <c r="M542" s="28">
        <f t="shared" si="61"/>
        <v>16379490.911967713</v>
      </c>
      <c r="N542" s="28">
        <f>(C542*Assumptions!$B$5)*((1+'Economic Competitiveness'!$E$48)^2)</f>
        <v>0</v>
      </c>
      <c r="O542" s="28">
        <f t="shared" si="62"/>
        <v>15725230.184952302</v>
      </c>
      <c r="P542" s="148">
        <f t="shared" si="63"/>
        <v>1308.9221350200742</v>
      </c>
      <c r="Q542" s="148">
        <f t="shared" si="64"/>
        <v>26457.679422539113</v>
      </c>
      <c r="R542" s="23"/>
      <c r="S542" s="28">
        <f t="shared" si="65"/>
        <v>11150.095923735682</v>
      </c>
      <c r="T542" s="23"/>
    </row>
    <row r="543" spans="1:20" x14ac:dyDescent="0.25">
      <c r="A543">
        <f t="shared" si="54"/>
        <v>23</v>
      </c>
      <c r="B543" s="231">
        <f t="shared" si="54"/>
        <v>2040</v>
      </c>
      <c r="C543" s="238">
        <f>'Environmental Protection'!C60-'Environmental Protection'!C59</f>
        <v>0</v>
      </c>
      <c r="D543" s="20">
        <f t="shared" si="55"/>
        <v>75</v>
      </c>
      <c r="E543" s="156">
        <v>1</v>
      </c>
      <c r="F543" s="324">
        <f t="shared" si="45"/>
        <v>622119.81566820282</v>
      </c>
      <c r="G543" s="27">
        <f t="shared" si="46"/>
        <v>5216.6201996927812</v>
      </c>
      <c r="H543" s="321">
        <f t="shared" si="59"/>
        <v>647004.60829493101</v>
      </c>
      <c r="I543" s="315">
        <f t="shared" si="48"/>
        <v>579399.14163090126</v>
      </c>
      <c r="J543" s="27">
        <f t="shared" si="49"/>
        <v>6525.5423347128553</v>
      </c>
      <c r="K543" s="325">
        <f t="shared" si="60"/>
        <v>1483261.8025751072</v>
      </c>
      <c r="L543" s="28">
        <f t="shared" si="51"/>
        <v>836257.19428017619</v>
      </c>
      <c r="M543" s="28">
        <f t="shared" si="61"/>
        <v>17215748.106247891</v>
      </c>
      <c r="N543" s="28">
        <f>(C543*Assumptions!$B$5)*((1+'Economic Competitiveness'!$E$48)^2)</f>
        <v>0</v>
      </c>
      <c r="O543" s="28">
        <f t="shared" si="62"/>
        <v>16561487.379232477</v>
      </c>
      <c r="P543" s="148">
        <f t="shared" si="63"/>
        <v>1308.9221350200742</v>
      </c>
      <c r="Q543" s="148">
        <f t="shared" si="64"/>
        <v>27766.601557559188</v>
      </c>
      <c r="R543" s="23"/>
      <c r="S543" s="28">
        <f t="shared" si="65"/>
        <v>11150.095923735682</v>
      </c>
      <c r="T543" s="23"/>
    </row>
    <row r="544" spans="1:20" x14ac:dyDescent="0.25">
      <c r="A544">
        <f t="shared" si="54"/>
        <v>24</v>
      </c>
      <c r="B544" s="231">
        <f t="shared" si="54"/>
        <v>2041</v>
      </c>
      <c r="C544" s="238">
        <f>'Environmental Protection'!C61-'Environmental Protection'!C60</f>
        <v>0</v>
      </c>
      <c r="D544" s="20">
        <f t="shared" si="55"/>
        <v>75</v>
      </c>
      <c r="E544" s="156">
        <v>1</v>
      </c>
      <c r="F544" s="324">
        <f t="shared" si="45"/>
        <v>622119.81566820282</v>
      </c>
      <c r="G544" s="27">
        <f t="shared" si="46"/>
        <v>5216.6201996927812</v>
      </c>
      <c r="H544" s="321">
        <f t="shared" si="59"/>
        <v>647004.60829493101</v>
      </c>
      <c r="I544" s="315">
        <f t="shared" si="48"/>
        <v>579399.14163090126</v>
      </c>
      <c r="J544" s="27">
        <f t="shared" si="49"/>
        <v>6525.5423347128553</v>
      </c>
      <c r="K544" s="325">
        <f t="shared" si="60"/>
        <v>1483261.8025751072</v>
      </c>
      <c r="L544" s="28">
        <f t="shared" si="51"/>
        <v>836257.19428017619</v>
      </c>
      <c r="M544" s="28">
        <f t="shared" si="61"/>
        <v>18052005.300528068</v>
      </c>
      <c r="N544" s="28">
        <f>(C544*Assumptions!$B$5)*((1+'Economic Competitiveness'!$E$48)^2)</f>
        <v>0</v>
      </c>
      <c r="O544" s="28">
        <f t="shared" si="62"/>
        <v>17397744.573512655</v>
      </c>
      <c r="P544" s="148">
        <f t="shared" si="63"/>
        <v>1308.9221350200742</v>
      </c>
      <c r="Q544" s="148">
        <f t="shared" si="64"/>
        <v>29075.523692579263</v>
      </c>
      <c r="R544" s="23"/>
      <c r="S544" s="28">
        <f t="shared" si="65"/>
        <v>11150.095923735682</v>
      </c>
      <c r="T544" s="23"/>
    </row>
    <row r="545" spans="1:30" x14ac:dyDescent="0.25">
      <c r="A545">
        <f t="shared" si="54"/>
        <v>25</v>
      </c>
      <c r="B545" s="231">
        <f t="shared" si="54"/>
        <v>2042</v>
      </c>
      <c r="C545" s="238">
        <f>'Environmental Protection'!C62-'Environmental Protection'!C61</f>
        <v>0</v>
      </c>
      <c r="D545" s="20">
        <f t="shared" si="55"/>
        <v>75</v>
      </c>
      <c r="E545" s="156">
        <v>1</v>
      </c>
      <c r="F545" s="324">
        <f t="shared" si="45"/>
        <v>622119.81566820282</v>
      </c>
      <c r="G545" s="27">
        <f t="shared" si="46"/>
        <v>5216.6201996927812</v>
      </c>
      <c r="H545" s="321">
        <f t="shared" si="59"/>
        <v>647004.60829493101</v>
      </c>
      <c r="I545" s="315">
        <f t="shared" si="48"/>
        <v>579399.14163090126</v>
      </c>
      <c r="J545" s="27">
        <f t="shared" si="49"/>
        <v>6525.5423347128553</v>
      </c>
      <c r="K545" s="325">
        <f t="shared" si="60"/>
        <v>1483261.8025751072</v>
      </c>
      <c r="L545" s="28">
        <f t="shared" si="51"/>
        <v>836257.19428017619</v>
      </c>
      <c r="M545" s="28">
        <f t="shared" si="61"/>
        <v>18888262.494808245</v>
      </c>
      <c r="N545" s="28">
        <f>(C545*Assumptions!$B$5)*((1+'Economic Competitiveness'!$E$48)^2)</f>
        <v>0</v>
      </c>
      <c r="O545" s="28">
        <f t="shared" si="62"/>
        <v>18234001.767792832</v>
      </c>
      <c r="P545" s="148">
        <f t="shared" si="63"/>
        <v>1308.9221350200742</v>
      </c>
      <c r="Q545" s="148">
        <f t="shared" si="64"/>
        <v>30384.445827599338</v>
      </c>
      <c r="R545" s="23"/>
      <c r="S545" s="28">
        <f t="shared" si="65"/>
        <v>11150.095923735682</v>
      </c>
      <c r="T545" s="23"/>
    </row>
    <row r="546" spans="1:30" x14ac:dyDescent="0.25">
      <c r="A546">
        <f t="shared" si="54"/>
        <v>26</v>
      </c>
      <c r="B546" s="231">
        <f t="shared" si="54"/>
        <v>2043</v>
      </c>
      <c r="C546" s="238">
        <f>'Environmental Protection'!C63-'Environmental Protection'!C62</f>
        <v>0</v>
      </c>
      <c r="D546" s="20">
        <f t="shared" si="55"/>
        <v>75</v>
      </c>
      <c r="E546" s="156">
        <v>1</v>
      </c>
      <c r="F546" s="324">
        <f t="shared" si="45"/>
        <v>622119.81566820282</v>
      </c>
      <c r="G546" s="27">
        <f t="shared" si="46"/>
        <v>5216.6201996927812</v>
      </c>
      <c r="H546" s="321">
        <f t="shared" si="59"/>
        <v>647004.60829493101</v>
      </c>
      <c r="I546" s="315">
        <f t="shared" si="48"/>
        <v>579399.14163090126</v>
      </c>
      <c r="J546" s="27">
        <f t="shared" si="49"/>
        <v>6525.5423347128553</v>
      </c>
      <c r="K546" s="325">
        <f t="shared" si="60"/>
        <v>1483261.8025751072</v>
      </c>
      <c r="L546" s="28">
        <f t="shared" si="51"/>
        <v>836257.19428017619</v>
      </c>
      <c r="M546" s="28">
        <f t="shared" si="61"/>
        <v>19724519.689088423</v>
      </c>
      <c r="N546" s="28">
        <f>(C546*Assumptions!$B$5)*((1+'Economic Competitiveness'!$E$48)^2)</f>
        <v>0</v>
      </c>
      <c r="O546" s="28">
        <f t="shared" si="62"/>
        <v>19070258.962073009</v>
      </c>
      <c r="P546" s="148">
        <f t="shared" si="63"/>
        <v>1308.9221350200742</v>
      </c>
      <c r="Q546" s="148">
        <f t="shared" si="64"/>
        <v>31693.367962619413</v>
      </c>
      <c r="R546" s="23"/>
      <c r="S546" s="28">
        <f t="shared" si="65"/>
        <v>11150.095923735682</v>
      </c>
      <c r="T546" s="23"/>
    </row>
    <row r="547" spans="1:30" x14ac:dyDescent="0.25">
      <c r="A547">
        <f t="shared" si="54"/>
        <v>27</v>
      </c>
      <c r="B547" s="231">
        <f t="shared" si="54"/>
        <v>2044</v>
      </c>
      <c r="C547" s="238">
        <f>'Environmental Protection'!C64-'Environmental Protection'!C63</f>
        <v>0</v>
      </c>
      <c r="D547" s="20">
        <f t="shared" si="55"/>
        <v>75</v>
      </c>
      <c r="E547" s="156">
        <v>1</v>
      </c>
      <c r="F547" s="324">
        <f t="shared" si="45"/>
        <v>622119.81566820282</v>
      </c>
      <c r="G547" s="27">
        <f t="shared" si="46"/>
        <v>5216.6201996927812</v>
      </c>
      <c r="H547" s="321">
        <f t="shared" si="59"/>
        <v>647004.60829493101</v>
      </c>
      <c r="I547" s="315">
        <f t="shared" si="48"/>
        <v>579399.14163090126</v>
      </c>
      <c r="J547" s="27">
        <f t="shared" si="49"/>
        <v>6525.5423347128553</v>
      </c>
      <c r="K547" s="325">
        <f t="shared" si="60"/>
        <v>1483261.8025751072</v>
      </c>
      <c r="L547" s="28">
        <f t="shared" si="51"/>
        <v>836257.19428017619</v>
      </c>
      <c r="M547" s="28">
        <f t="shared" si="61"/>
        <v>20560776.8833686</v>
      </c>
      <c r="N547" s="28">
        <f>(C547*Assumptions!$B$5)*((1+'Economic Competitiveness'!$E$48)^2)</f>
        <v>0</v>
      </c>
      <c r="O547" s="28">
        <f t="shared" si="62"/>
        <v>19906516.156353187</v>
      </c>
      <c r="P547" s="148">
        <f t="shared" si="63"/>
        <v>1308.9221350200742</v>
      </c>
      <c r="Q547" s="148">
        <f t="shared" si="64"/>
        <v>33002.290097639489</v>
      </c>
      <c r="R547" s="23"/>
      <c r="S547" s="28">
        <f t="shared" si="65"/>
        <v>11150.095923735682</v>
      </c>
      <c r="T547" s="23"/>
    </row>
    <row r="548" spans="1:30" x14ac:dyDescent="0.25">
      <c r="A548">
        <f t="shared" si="54"/>
        <v>28</v>
      </c>
      <c r="B548" s="231">
        <f t="shared" si="54"/>
        <v>2045</v>
      </c>
      <c r="C548" s="238">
        <f>'Environmental Protection'!C65-'Environmental Protection'!C64</f>
        <v>0</v>
      </c>
      <c r="D548" s="20">
        <f t="shared" si="55"/>
        <v>75</v>
      </c>
      <c r="E548" s="156">
        <v>1</v>
      </c>
      <c r="F548" s="324">
        <f t="shared" si="45"/>
        <v>622119.81566820282</v>
      </c>
      <c r="G548" s="27">
        <f t="shared" si="46"/>
        <v>5216.6201996927812</v>
      </c>
      <c r="H548" s="321">
        <f t="shared" si="59"/>
        <v>647004.60829493101</v>
      </c>
      <c r="I548" s="315">
        <f t="shared" si="48"/>
        <v>579399.14163090126</v>
      </c>
      <c r="J548" s="27">
        <f t="shared" si="49"/>
        <v>6525.5423347128553</v>
      </c>
      <c r="K548" s="325">
        <f t="shared" si="60"/>
        <v>1483261.8025751072</v>
      </c>
      <c r="L548" s="28">
        <f t="shared" si="51"/>
        <v>836257.19428017619</v>
      </c>
      <c r="M548" s="28">
        <f t="shared" si="61"/>
        <v>21397034.077648778</v>
      </c>
      <c r="N548" s="28">
        <f>(C548*Assumptions!$B$5)*((1+'Economic Competitiveness'!$E$48)^2)</f>
        <v>0</v>
      </c>
      <c r="O548" s="28">
        <f t="shared" si="62"/>
        <v>20742773.350633364</v>
      </c>
      <c r="P548" s="148">
        <f t="shared" si="63"/>
        <v>1308.9221350200742</v>
      </c>
      <c r="Q548" s="148">
        <f t="shared" si="64"/>
        <v>34311.212232659564</v>
      </c>
      <c r="R548" s="23"/>
      <c r="S548" s="28">
        <f t="shared" si="65"/>
        <v>11150.095923735682</v>
      </c>
      <c r="T548" s="23"/>
    </row>
    <row r="549" spans="1:30" x14ac:dyDescent="0.25">
      <c r="A549">
        <f t="shared" si="54"/>
        <v>29</v>
      </c>
      <c r="B549" s="231">
        <f t="shared" si="54"/>
        <v>2046</v>
      </c>
      <c r="C549" s="238">
        <f>'Environmental Protection'!C66-'Environmental Protection'!C65</f>
        <v>0</v>
      </c>
      <c r="D549" s="20">
        <f t="shared" si="55"/>
        <v>75</v>
      </c>
      <c r="E549" s="156">
        <v>1</v>
      </c>
      <c r="F549" s="324">
        <f t="shared" si="45"/>
        <v>622119.81566820282</v>
      </c>
      <c r="G549" s="27">
        <f t="shared" si="46"/>
        <v>5216.6201996927812</v>
      </c>
      <c r="H549" s="321">
        <f t="shared" si="59"/>
        <v>647004.60829493101</v>
      </c>
      <c r="I549" s="315">
        <f t="shared" si="48"/>
        <v>579399.14163090126</v>
      </c>
      <c r="J549" s="27">
        <f t="shared" si="49"/>
        <v>6525.5423347128553</v>
      </c>
      <c r="K549" s="325">
        <f t="shared" si="60"/>
        <v>1483261.8025751072</v>
      </c>
      <c r="L549" s="28">
        <f t="shared" si="51"/>
        <v>836257.19428017619</v>
      </c>
      <c r="M549" s="28">
        <f t="shared" si="61"/>
        <v>22233291.271928955</v>
      </c>
      <c r="N549" s="28">
        <f>(C549*Assumptions!$B$5)*((1+'Economic Competitiveness'!$E$48)^2)</f>
        <v>0</v>
      </c>
      <c r="O549" s="28">
        <f t="shared" si="62"/>
        <v>21579030.544913542</v>
      </c>
      <c r="P549" s="148">
        <f t="shared" si="63"/>
        <v>1308.9221350200742</v>
      </c>
      <c r="Q549" s="148">
        <f t="shared" si="64"/>
        <v>35620.134367679639</v>
      </c>
      <c r="R549" s="23"/>
      <c r="S549" s="28">
        <f t="shared" si="65"/>
        <v>11150.095923735682</v>
      </c>
      <c r="T549" s="23"/>
    </row>
    <row r="550" spans="1:30" x14ac:dyDescent="0.25">
      <c r="A550">
        <f t="shared" si="54"/>
        <v>30</v>
      </c>
      <c r="B550" s="231">
        <f t="shared" si="54"/>
        <v>2047</v>
      </c>
      <c r="C550" s="238">
        <f>'Environmental Protection'!C67-'Environmental Protection'!C66</f>
        <v>0</v>
      </c>
      <c r="D550" s="20">
        <f t="shared" si="55"/>
        <v>75</v>
      </c>
      <c r="E550" s="156">
        <v>1</v>
      </c>
      <c r="F550" s="324">
        <f t="shared" si="45"/>
        <v>622119.81566820282</v>
      </c>
      <c r="G550" s="27">
        <f t="shared" si="46"/>
        <v>5216.6201996927812</v>
      </c>
      <c r="H550" s="321">
        <f t="shared" si="59"/>
        <v>647004.60829493101</v>
      </c>
      <c r="I550" s="315">
        <f t="shared" si="48"/>
        <v>579399.14163090126</v>
      </c>
      <c r="J550" s="27">
        <f t="shared" si="49"/>
        <v>6525.5423347128553</v>
      </c>
      <c r="K550" s="325">
        <f t="shared" si="60"/>
        <v>1483261.8025751072</v>
      </c>
      <c r="L550" s="28">
        <f t="shared" si="51"/>
        <v>836257.19428017619</v>
      </c>
      <c r="M550" s="28">
        <f t="shared" si="61"/>
        <v>23069548.466209132</v>
      </c>
      <c r="N550" s="28">
        <f>(C550*Assumptions!$B$5)*((1+'Economic Competitiveness'!$E$48)^2)</f>
        <v>0</v>
      </c>
      <c r="O550" s="28">
        <f t="shared" si="62"/>
        <v>22415287.739193719</v>
      </c>
      <c r="P550" s="148">
        <f t="shared" si="63"/>
        <v>1308.9221350200742</v>
      </c>
      <c r="Q550" s="148">
        <f t="shared" si="64"/>
        <v>36929.056502699714</v>
      </c>
      <c r="R550" s="23"/>
      <c r="S550" s="28">
        <f t="shared" si="65"/>
        <v>11150.095923735682</v>
      </c>
      <c r="T550" s="23"/>
    </row>
    <row r="551" spans="1:30" x14ac:dyDescent="0.25">
      <c r="A551">
        <f t="shared" si="54"/>
        <v>31</v>
      </c>
      <c r="B551" s="231">
        <f t="shared" si="54"/>
        <v>2048</v>
      </c>
      <c r="C551" s="238">
        <f>'Environmental Protection'!C68-'Environmental Protection'!C67</f>
        <v>0</v>
      </c>
      <c r="D551" s="20">
        <f t="shared" si="55"/>
        <v>75</v>
      </c>
      <c r="E551" s="156">
        <v>1</v>
      </c>
      <c r="F551" s="324">
        <f t="shared" si="45"/>
        <v>622119.81566820282</v>
      </c>
      <c r="G551" s="27">
        <f t="shared" si="46"/>
        <v>5216.6201996927812</v>
      </c>
      <c r="H551" s="321">
        <f t="shared" si="59"/>
        <v>647004.60829493101</v>
      </c>
      <c r="I551" s="315">
        <f t="shared" si="48"/>
        <v>579399.14163090126</v>
      </c>
      <c r="J551" s="27">
        <f t="shared" si="49"/>
        <v>6525.5423347128553</v>
      </c>
      <c r="K551" s="325">
        <f t="shared" si="60"/>
        <v>1483261.8025751072</v>
      </c>
      <c r="L551" s="28">
        <f t="shared" si="51"/>
        <v>836257.19428017619</v>
      </c>
      <c r="M551" s="28">
        <f t="shared" si="61"/>
        <v>23905805.66048931</v>
      </c>
      <c r="N551" s="28">
        <f>(C551*Assumptions!$B$5)*((1+'Economic Competitiveness'!$E$48)^2)</f>
        <v>0</v>
      </c>
      <c r="O551" s="28">
        <f t="shared" si="62"/>
        <v>23251544.933473896</v>
      </c>
      <c r="P551" s="148">
        <f t="shared" si="63"/>
        <v>1308.9221350200742</v>
      </c>
      <c r="Q551" s="148">
        <f t="shared" si="64"/>
        <v>38237.978637719789</v>
      </c>
      <c r="R551" s="23"/>
      <c r="S551" s="28">
        <f t="shared" si="65"/>
        <v>11150.095923735682</v>
      </c>
      <c r="T551" s="23"/>
    </row>
    <row r="552" spans="1:30" x14ac:dyDescent="0.25">
      <c r="A552">
        <f t="shared" si="54"/>
        <v>32</v>
      </c>
      <c r="B552" s="231">
        <f t="shared" si="54"/>
        <v>2049</v>
      </c>
      <c r="C552" s="238">
        <f>'Environmental Protection'!C69-'Environmental Protection'!C68</f>
        <v>0</v>
      </c>
      <c r="D552" s="20">
        <f t="shared" si="55"/>
        <v>75</v>
      </c>
      <c r="E552" s="156">
        <v>1</v>
      </c>
      <c r="F552" s="324">
        <f t="shared" si="45"/>
        <v>622119.81566820282</v>
      </c>
      <c r="G552" s="27">
        <f t="shared" si="46"/>
        <v>5216.6201996927812</v>
      </c>
      <c r="H552" s="321">
        <f t="shared" si="59"/>
        <v>647004.60829493101</v>
      </c>
      <c r="I552" s="315">
        <f t="shared" si="48"/>
        <v>579399.14163090126</v>
      </c>
      <c r="J552" s="27">
        <f t="shared" si="49"/>
        <v>6525.5423347128553</v>
      </c>
      <c r="K552" s="325">
        <f t="shared" si="60"/>
        <v>1483261.8025751072</v>
      </c>
      <c r="L552" s="28">
        <f t="shared" si="51"/>
        <v>836257.19428017619</v>
      </c>
      <c r="M552" s="28">
        <f t="shared" si="61"/>
        <v>24742062.854769487</v>
      </c>
      <c r="N552" s="28">
        <f>(C552*Assumptions!$B$5)*((1+'Economic Competitiveness'!$E$48)^2)</f>
        <v>0</v>
      </c>
      <c r="O552" s="28">
        <f t="shared" si="62"/>
        <v>24087802.127754074</v>
      </c>
      <c r="P552" s="148">
        <f t="shared" si="63"/>
        <v>1308.9221350200742</v>
      </c>
      <c r="Q552" s="148">
        <f t="shared" si="64"/>
        <v>39546.900772739864</v>
      </c>
      <c r="R552" s="23"/>
      <c r="S552" s="28">
        <f t="shared" si="65"/>
        <v>11150.095923735682</v>
      </c>
      <c r="T552" s="23"/>
    </row>
    <row r="553" spans="1:30" x14ac:dyDescent="0.25">
      <c r="A553">
        <f t="shared" si="54"/>
        <v>33</v>
      </c>
      <c r="B553" s="231">
        <f t="shared" si="54"/>
        <v>2050</v>
      </c>
      <c r="C553" s="238">
        <f>'Environmental Protection'!C70-'Environmental Protection'!C69</f>
        <v>0</v>
      </c>
      <c r="D553" s="20">
        <f t="shared" si="55"/>
        <v>75</v>
      </c>
      <c r="E553" s="156">
        <v>1</v>
      </c>
      <c r="F553" s="324">
        <f t="shared" si="45"/>
        <v>622119.81566820282</v>
      </c>
      <c r="G553" s="27">
        <f t="shared" si="46"/>
        <v>5216.6201996927812</v>
      </c>
      <c r="H553" s="321">
        <f t="shared" si="59"/>
        <v>647004.60829493101</v>
      </c>
      <c r="I553" s="315">
        <f t="shared" si="48"/>
        <v>579399.14163090126</v>
      </c>
      <c r="J553" s="27">
        <f t="shared" si="49"/>
        <v>6525.5423347128553</v>
      </c>
      <c r="K553" s="325">
        <f t="shared" si="60"/>
        <v>1483261.8025751072</v>
      </c>
      <c r="L553" s="28">
        <f t="shared" si="51"/>
        <v>836257.19428017619</v>
      </c>
      <c r="M553" s="28">
        <f t="shared" si="61"/>
        <v>25578320.049049664</v>
      </c>
      <c r="N553" s="28">
        <f>(C553*Assumptions!$B$5)*((1+'Economic Competitiveness'!$E$48)^2)</f>
        <v>0</v>
      </c>
      <c r="O553" s="28">
        <f t="shared" si="62"/>
        <v>24924059.322034251</v>
      </c>
      <c r="P553" s="148">
        <f t="shared" si="63"/>
        <v>1308.9221350200742</v>
      </c>
      <c r="Q553" s="148">
        <f t="shared" si="64"/>
        <v>40855.822907759939</v>
      </c>
      <c r="R553" s="23"/>
      <c r="S553" s="28">
        <f t="shared" si="65"/>
        <v>11150.095923735682</v>
      </c>
      <c r="T553" s="23"/>
    </row>
    <row r="554" spans="1:30" x14ac:dyDescent="0.25">
      <c r="A554">
        <f t="shared" si="54"/>
        <v>34</v>
      </c>
      <c r="B554" s="231">
        <f t="shared" si="54"/>
        <v>2051</v>
      </c>
      <c r="C554" s="238">
        <f>'Environmental Protection'!C71-'Environmental Protection'!C70</f>
        <v>0</v>
      </c>
      <c r="D554" s="20">
        <f t="shared" si="55"/>
        <v>75</v>
      </c>
      <c r="E554" s="156">
        <v>1</v>
      </c>
      <c r="F554" s="324">
        <f t="shared" si="45"/>
        <v>622119.81566820282</v>
      </c>
      <c r="G554" s="27">
        <f t="shared" si="46"/>
        <v>5216.6201996927812</v>
      </c>
      <c r="H554" s="321">
        <f t="shared" si="59"/>
        <v>647004.60829493101</v>
      </c>
      <c r="I554" s="315">
        <f t="shared" si="48"/>
        <v>579399.14163090126</v>
      </c>
      <c r="J554" s="27">
        <f t="shared" si="49"/>
        <v>6525.5423347128553</v>
      </c>
      <c r="K554" s="325">
        <f t="shared" si="60"/>
        <v>1483261.8025751072</v>
      </c>
      <c r="L554" s="28">
        <f t="shared" si="51"/>
        <v>836257.19428017619</v>
      </c>
      <c r="M554" s="28">
        <f t="shared" si="61"/>
        <v>26414577.243329842</v>
      </c>
      <c r="N554" s="28">
        <f>(C554*Assumptions!$B$5)*((1+'Economic Competitiveness'!$E$48)^2)</f>
        <v>0</v>
      </c>
      <c r="O554" s="28">
        <f t="shared" si="62"/>
        <v>25760316.516314428</v>
      </c>
      <c r="P554" s="148">
        <f t="shared" si="63"/>
        <v>1308.9221350200742</v>
      </c>
      <c r="Q554" s="148">
        <f t="shared" si="64"/>
        <v>42164.745042780014</v>
      </c>
      <c r="R554" s="23"/>
      <c r="S554" s="28">
        <f>L554/D554</f>
        <v>11150.095923735682</v>
      </c>
      <c r="T554" s="23"/>
    </row>
    <row r="555" spans="1:30" x14ac:dyDescent="0.25">
      <c r="A555">
        <f t="shared" si="54"/>
        <v>35</v>
      </c>
      <c r="B555" s="231">
        <f t="shared" si="54"/>
        <v>2052</v>
      </c>
      <c r="C555" s="238">
        <f>'Environmental Protection'!C72-'Environmental Protection'!C71</f>
        <v>0</v>
      </c>
      <c r="D555" s="20">
        <f t="shared" si="55"/>
        <v>75</v>
      </c>
      <c r="E555" s="156">
        <v>1</v>
      </c>
      <c r="F555" s="324">
        <f t="shared" si="45"/>
        <v>622119.81566820282</v>
      </c>
      <c r="G555" s="27">
        <f t="shared" si="46"/>
        <v>5216.6201996927812</v>
      </c>
      <c r="H555" s="321">
        <f t="shared" si="59"/>
        <v>647004.60829493101</v>
      </c>
      <c r="I555" s="315">
        <f t="shared" si="48"/>
        <v>579399.14163090126</v>
      </c>
      <c r="J555" s="27">
        <f t="shared" si="49"/>
        <v>6525.5423347128553</v>
      </c>
      <c r="K555" s="325">
        <f t="shared" si="60"/>
        <v>1483261.8025751072</v>
      </c>
      <c r="L555" s="28">
        <f t="shared" si="51"/>
        <v>836257.19428017619</v>
      </c>
      <c r="M555" s="28">
        <f t="shared" si="61"/>
        <v>27250834.437610019</v>
      </c>
      <c r="N555" s="28">
        <f>(C555*Assumptions!$B$5)*((1+'Economic Competitiveness'!$E$48)^2)</f>
        <v>0</v>
      </c>
      <c r="O555" s="28">
        <f t="shared" si="62"/>
        <v>26596573.710594606</v>
      </c>
      <c r="P555" s="148">
        <f t="shared" si="63"/>
        <v>1308.9221350200742</v>
      </c>
      <c r="Q555" s="148">
        <f t="shared" si="64"/>
        <v>43473.667177800089</v>
      </c>
      <c r="R555" s="107"/>
      <c r="S555" s="67">
        <f t="shared" si="65"/>
        <v>11150.095923735682</v>
      </c>
      <c r="T555" s="107"/>
      <c r="U555" s="68"/>
      <c r="V555" s="68"/>
      <c r="W555" s="68"/>
      <c r="X555" s="68"/>
    </row>
    <row r="556" spans="1:30" x14ac:dyDescent="0.25">
      <c r="A556">
        <f t="shared" ref="A556:B560" si="66">A555+1</f>
        <v>36</v>
      </c>
      <c r="B556" s="231">
        <f t="shared" si="66"/>
        <v>2053</v>
      </c>
      <c r="C556" s="238">
        <f>'Environmental Protection'!C73-'Environmental Protection'!C72</f>
        <v>0</v>
      </c>
      <c r="D556" s="20">
        <f t="shared" si="55"/>
        <v>75</v>
      </c>
      <c r="E556" s="156">
        <v>1</v>
      </c>
      <c r="F556" s="324">
        <f t="shared" si="45"/>
        <v>622119.81566820282</v>
      </c>
      <c r="G556" s="27">
        <f t="shared" si="46"/>
        <v>5216.6201996927812</v>
      </c>
      <c r="H556" s="321">
        <f t="shared" ref="H556:H557" si="67">F556*C$485</f>
        <v>647004.60829493101</v>
      </c>
      <c r="I556" s="315">
        <f t="shared" si="48"/>
        <v>579399.14163090126</v>
      </c>
      <c r="J556" s="27">
        <f t="shared" si="49"/>
        <v>6525.5423347128553</v>
      </c>
      <c r="K556" s="325">
        <f t="shared" ref="K556:K557" si="68">I556*C$484</f>
        <v>1483261.8025751072</v>
      </c>
      <c r="L556" s="28">
        <f t="shared" si="51"/>
        <v>836257.19428017619</v>
      </c>
      <c r="M556" s="28">
        <f t="shared" ref="M556:M557" si="69">M555+L556</f>
        <v>28087091.631890196</v>
      </c>
      <c r="N556" s="28">
        <f>(C556*Assumptions!$B$5)*((1+'Economic Competitiveness'!$E$48)^2)</f>
        <v>0</v>
      </c>
      <c r="O556" s="28">
        <f t="shared" ref="O556:O557" si="70">L556+O555-N556</f>
        <v>27432830.904874783</v>
      </c>
      <c r="P556" s="148">
        <f t="shared" ref="P556:P557" si="71">J556-G556</f>
        <v>1308.9221350200742</v>
      </c>
      <c r="Q556" s="148">
        <f t="shared" ref="Q556:Q557" si="72">Q555+P556</f>
        <v>44782.589312820164</v>
      </c>
      <c r="R556" s="107"/>
      <c r="S556" s="67">
        <f t="shared" ref="S556:S557" si="73">L556/D556</f>
        <v>11150.095923735682</v>
      </c>
      <c r="T556" s="107"/>
      <c r="U556" s="68"/>
      <c r="V556" s="68"/>
      <c r="W556" s="68"/>
      <c r="X556" s="68"/>
    </row>
    <row r="557" spans="1:30" x14ac:dyDescent="0.25">
      <c r="A557" s="68">
        <f t="shared" si="66"/>
        <v>37</v>
      </c>
      <c r="B557" s="231">
        <f t="shared" si="66"/>
        <v>2054</v>
      </c>
      <c r="C557" s="238">
        <f>'Environmental Protection'!C74-'Environmental Protection'!C73</f>
        <v>0</v>
      </c>
      <c r="D557" s="146">
        <f t="shared" si="55"/>
        <v>75</v>
      </c>
      <c r="E557" s="156">
        <v>1</v>
      </c>
      <c r="F557" s="324">
        <f t="shared" si="45"/>
        <v>622119.81566820282</v>
      </c>
      <c r="G557" s="148">
        <f t="shared" si="46"/>
        <v>5216.6201996927812</v>
      </c>
      <c r="H557" s="323">
        <f t="shared" si="67"/>
        <v>647004.60829493101</v>
      </c>
      <c r="I557" s="317">
        <f t="shared" si="48"/>
        <v>579399.14163090126</v>
      </c>
      <c r="J557" s="148">
        <f t="shared" si="49"/>
        <v>6525.5423347128553</v>
      </c>
      <c r="K557" s="327">
        <f t="shared" si="68"/>
        <v>1483261.8025751072</v>
      </c>
      <c r="L557" s="67">
        <f t="shared" si="51"/>
        <v>836257.19428017619</v>
      </c>
      <c r="M557" s="67">
        <f t="shared" si="69"/>
        <v>28923348.826170374</v>
      </c>
      <c r="N557" s="28">
        <f>(C557*Assumptions!$B$5)*((1+'Economic Competitiveness'!$E$48)^2)</f>
        <v>0</v>
      </c>
      <c r="O557" s="67">
        <f t="shared" si="70"/>
        <v>28269088.09915496</v>
      </c>
      <c r="P557" s="148">
        <f t="shared" si="71"/>
        <v>1308.9221350200742</v>
      </c>
      <c r="Q557" s="148">
        <f t="shared" si="72"/>
        <v>46091.511447840239</v>
      </c>
      <c r="R557" s="107"/>
      <c r="S557" s="67">
        <f t="shared" si="73"/>
        <v>11150.095923735682</v>
      </c>
      <c r="T557" s="107"/>
      <c r="U557" s="68"/>
      <c r="V557" s="68"/>
      <c r="W557" s="68"/>
      <c r="X557" s="68"/>
    </row>
    <row r="558" spans="1:30" x14ac:dyDescent="0.25">
      <c r="A558" s="68">
        <f t="shared" si="66"/>
        <v>38</v>
      </c>
      <c r="B558" s="231">
        <f t="shared" si="66"/>
        <v>2055</v>
      </c>
      <c r="C558" s="238">
        <f>'Environmental Protection'!C75-'Environmental Protection'!C74</f>
        <v>0</v>
      </c>
      <c r="D558" s="146">
        <f t="shared" ref="D558:D560" si="74">D557+C558</f>
        <v>75</v>
      </c>
      <c r="E558" s="156">
        <v>1</v>
      </c>
      <c r="F558" s="324">
        <f t="shared" si="45"/>
        <v>622119.81566820282</v>
      </c>
      <c r="G558" s="148">
        <f t="shared" si="46"/>
        <v>5216.6201996927812</v>
      </c>
      <c r="H558" s="323">
        <f t="shared" ref="H558:H559" si="75">F558*C$485</f>
        <v>647004.60829493101</v>
      </c>
      <c r="I558" s="317">
        <f t="shared" si="48"/>
        <v>579399.14163090126</v>
      </c>
      <c r="J558" s="148">
        <f t="shared" si="49"/>
        <v>6525.5423347128553</v>
      </c>
      <c r="K558" s="327">
        <f t="shared" ref="K558:K559" si="76">I558*C$484</f>
        <v>1483261.8025751072</v>
      </c>
      <c r="L558" s="67">
        <f t="shared" ref="L558:L559" si="77">K558-H558</f>
        <v>836257.19428017619</v>
      </c>
      <c r="M558" s="67">
        <f t="shared" ref="M558:M559" si="78">M557+L558</f>
        <v>29759606.020450551</v>
      </c>
      <c r="N558" s="28">
        <f>(C558*Assumptions!$B$5)*((1+'Economic Competitiveness'!$E$48)^2)</f>
        <v>0</v>
      </c>
      <c r="O558" s="67">
        <f t="shared" ref="O558:O559" si="79">L558+O557-N558</f>
        <v>29105345.293435138</v>
      </c>
      <c r="P558" s="148">
        <f t="shared" ref="P558:P559" si="80">J558-G558</f>
        <v>1308.9221350200742</v>
      </c>
      <c r="Q558" s="148">
        <f t="shared" ref="Q558:Q559" si="81">Q557+P558</f>
        <v>47400.433582860314</v>
      </c>
      <c r="R558" s="107"/>
      <c r="S558" s="67">
        <f t="shared" ref="S558:S559" si="82">L558/D558</f>
        <v>11150.095923735682</v>
      </c>
      <c r="T558" s="107"/>
      <c r="U558" s="68"/>
      <c r="V558" s="68"/>
      <c r="W558" s="68"/>
      <c r="X558" s="68"/>
    </row>
    <row r="559" spans="1:30" x14ac:dyDescent="0.25">
      <c r="A559" s="68">
        <f t="shared" si="66"/>
        <v>39</v>
      </c>
      <c r="B559" s="231">
        <f t="shared" si="66"/>
        <v>2056</v>
      </c>
      <c r="C559" s="238">
        <f>'Environmental Protection'!C76-'Environmental Protection'!C75</f>
        <v>0</v>
      </c>
      <c r="D559" s="146">
        <f t="shared" si="74"/>
        <v>75</v>
      </c>
      <c r="E559" s="156">
        <v>1</v>
      </c>
      <c r="F559" s="324">
        <f t="shared" si="45"/>
        <v>622119.81566820282</v>
      </c>
      <c r="G559" s="148">
        <f t="shared" si="46"/>
        <v>5216.6201996927812</v>
      </c>
      <c r="H559" s="323">
        <f t="shared" si="75"/>
        <v>647004.60829493101</v>
      </c>
      <c r="I559" s="317">
        <f t="shared" si="48"/>
        <v>579399.14163090126</v>
      </c>
      <c r="J559" s="148">
        <f t="shared" si="49"/>
        <v>6525.5423347128553</v>
      </c>
      <c r="K559" s="327">
        <f t="shared" si="76"/>
        <v>1483261.8025751072</v>
      </c>
      <c r="L559" s="67">
        <f t="shared" si="77"/>
        <v>836257.19428017619</v>
      </c>
      <c r="M559" s="67">
        <f t="shared" si="78"/>
        <v>30595863.214730728</v>
      </c>
      <c r="N559" s="28">
        <f>(C559*Assumptions!$B$5)*((1+'Economic Competitiveness'!$E$48)^2)</f>
        <v>0</v>
      </c>
      <c r="O559" s="67">
        <f t="shared" si="79"/>
        <v>29941602.487715315</v>
      </c>
      <c r="P559" s="148">
        <f t="shared" si="80"/>
        <v>1308.9221350200742</v>
      </c>
      <c r="Q559" s="148">
        <f t="shared" si="81"/>
        <v>48709.355717880389</v>
      </c>
      <c r="R559" s="107"/>
      <c r="S559" s="67">
        <f t="shared" si="82"/>
        <v>11150.095923735682</v>
      </c>
      <c r="T559" s="107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</row>
    <row r="560" spans="1:30" x14ac:dyDescent="0.25">
      <c r="A560" s="3">
        <f t="shared" si="66"/>
        <v>40</v>
      </c>
      <c r="B560" s="270">
        <f t="shared" si="66"/>
        <v>2057</v>
      </c>
      <c r="C560" s="586">
        <f>'Environmental Protection'!C77-'Environmental Protection'!C76</f>
        <v>0</v>
      </c>
      <c r="D560" s="59">
        <f t="shared" si="74"/>
        <v>75</v>
      </c>
      <c r="E560" s="60">
        <v>1</v>
      </c>
      <c r="F560" s="531">
        <f t="shared" si="45"/>
        <v>622119.81566820282</v>
      </c>
      <c r="G560" s="55">
        <f t="shared" si="46"/>
        <v>5216.6201996927812</v>
      </c>
      <c r="H560" s="322">
        <f t="shared" ref="H560" si="83">F560*C$485</f>
        <v>647004.60829493101</v>
      </c>
      <c r="I560" s="316">
        <f t="shared" si="48"/>
        <v>579399.14163090126</v>
      </c>
      <c r="J560" s="55">
        <f t="shared" si="49"/>
        <v>6525.5423347128553</v>
      </c>
      <c r="K560" s="326">
        <f t="shared" ref="K560" si="84">I560*C$484</f>
        <v>1483261.8025751072</v>
      </c>
      <c r="L560" s="61">
        <f t="shared" ref="L560" si="85">K560-H560</f>
        <v>836257.19428017619</v>
      </c>
      <c r="M560" s="61">
        <f t="shared" ref="M560" si="86">M559+L560</f>
        <v>31432120.409010906</v>
      </c>
      <c r="N560" s="28">
        <f>(C560*Assumptions!$B$5)*((1+'Economic Competitiveness'!$E$48)^2)</f>
        <v>0</v>
      </c>
      <c r="O560" s="61">
        <f t="shared" ref="O560" si="87">L560+O559-N560</f>
        <v>30777859.681995492</v>
      </c>
      <c r="P560" s="55">
        <f t="shared" ref="P560" si="88">J560-G560</f>
        <v>1308.9221350200742</v>
      </c>
      <c r="Q560" s="55">
        <f t="shared" ref="Q560" si="89">Q559+P560</f>
        <v>50018.277852900464</v>
      </c>
      <c r="R560" s="62"/>
      <c r="S560" s="61">
        <f t="shared" ref="S560" si="90">L560/D560</f>
        <v>11150.095923735682</v>
      </c>
      <c r="T560" s="107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</row>
    <row r="561" spans="1:20" x14ac:dyDescent="0.25">
      <c r="B561" s="233"/>
      <c r="C561" s="331" t="s">
        <v>26</v>
      </c>
      <c r="D561" s="332"/>
      <c r="E561" s="333"/>
      <c r="F561" s="334">
        <f t="shared" ref="F561:L561" si="91">SUM(F521:F560)</f>
        <v>23773271.889400925</v>
      </c>
      <c r="G561" s="335">
        <f t="shared" si="91"/>
        <v>199344.44656426026</v>
      </c>
      <c r="H561" s="336">
        <f t="shared" si="91"/>
        <v>24724202.764976948</v>
      </c>
      <c r="I561" s="337">
        <f t="shared" si="91"/>
        <v>22140772.532188851</v>
      </c>
      <c r="J561" s="335">
        <f t="shared" si="91"/>
        <v>249362.72441716076</v>
      </c>
      <c r="K561" s="338">
        <f t="shared" si="91"/>
        <v>56680377.682403386</v>
      </c>
      <c r="L561" s="339">
        <f t="shared" si="91"/>
        <v>31956174.917426482</v>
      </c>
      <c r="M561" s="339">
        <f>M560</f>
        <v>31432120.409010906</v>
      </c>
      <c r="N561" s="339">
        <f>SUM(N521:N560)</f>
        <v>1178315.2354309896</v>
      </c>
      <c r="O561" s="339">
        <f>O560</f>
        <v>30777859.681995492</v>
      </c>
      <c r="P561" s="56">
        <f>SUM(P521:P560)</f>
        <v>50018.277852900464</v>
      </c>
      <c r="Q561" s="56">
        <f>Q560</f>
        <v>50018.277852900464</v>
      </c>
      <c r="R561" s="23"/>
      <c r="S561" s="56">
        <f>S560</f>
        <v>11150.095923735682</v>
      </c>
      <c r="T561" s="23"/>
    </row>
    <row r="562" spans="1:20" x14ac:dyDescent="0.25">
      <c r="B562" s="233"/>
      <c r="C562" s="331"/>
      <c r="D562" s="332"/>
      <c r="E562" s="333"/>
      <c r="F562" s="334"/>
      <c r="G562" s="335"/>
      <c r="H562" s="336"/>
      <c r="I562" s="337"/>
      <c r="J562" s="335"/>
      <c r="K562" s="338"/>
      <c r="L562" s="339"/>
      <c r="M562" s="339"/>
      <c r="N562" s="339"/>
      <c r="O562" s="339"/>
      <c r="P562" s="56"/>
      <c r="Q562" s="56"/>
      <c r="R562" s="23"/>
      <c r="S562" s="56"/>
      <c r="T562" s="23"/>
    </row>
    <row r="563" spans="1:20" x14ac:dyDescent="0.25">
      <c r="B563" s="233"/>
      <c r="C563" s="331"/>
      <c r="D563" s="332"/>
      <c r="E563" s="333"/>
      <c r="F563" s="334"/>
      <c r="G563" s="335"/>
      <c r="H563" s="336"/>
      <c r="I563" s="337"/>
      <c r="J563" s="335"/>
      <c r="K563" s="338"/>
      <c r="L563" s="339"/>
      <c r="M563" s="339"/>
      <c r="N563" s="339"/>
      <c r="O563" s="339"/>
      <c r="P563" s="56"/>
      <c r="Q563" s="56"/>
      <c r="R563" s="23"/>
      <c r="S563" s="56"/>
      <c r="T563" s="23"/>
    </row>
    <row r="564" spans="1:20" x14ac:dyDescent="0.25">
      <c r="C564" s="19"/>
      <c r="D564" s="20"/>
      <c r="L564" s="250"/>
      <c r="N564" s="63"/>
      <c r="O564" s="58"/>
    </row>
    <row r="565" spans="1:20" x14ac:dyDescent="0.25">
      <c r="A565" s="381"/>
      <c r="B565" s="381"/>
      <c r="C565" s="527"/>
      <c r="D565" s="528"/>
      <c r="E565" s="381"/>
      <c r="F565" s="381"/>
      <c r="G565" s="40" t="s">
        <v>424</v>
      </c>
      <c r="H565" s="40" t="s">
        <v>425</v>
      </c>
      <c r="I565" s="313" t="s">
        <v>266</v>
      </c>
      <c r="J565" s="313" t="s">
        <v>39</v>
      </c>
      <c r="K565" s="313" t="s">
        <v>33</v>
      </c>
      <c r="L565" s="40" t="s">
        <v>427</v>
      </c>
      <c r="M565" s="40" t="s">
        <v>428</v>
      </c>
      <c r="N565" s="40" t="s">
        <v>28</v>
      </c>
      <c r="O565" s="40" t="s">
        <v>423</v>
      </c>
      <c r="P565" s="40" t="s">
        <v>40</v>
      </c>
      <c r="Q565" s="40" t="s">
        <v>41</v>
      </c>
    </row>
    <row r="566" spans="1:20" x14ac:dyDescent="0.25">
      <c r="A566" s="41"/>
      <c r="B566" s="42" t="s">
        <v>344</v>
      </c>
      <c r="C566" s="42" t="s">
        <v>345</v>
      </c>
      <c r="D566" s="42" t="s">
        <v>346</v>
      </c>
      <c r="E566" s="43" t="s">
        <v>24</v>
      </c>
      <c r="F566" s="42" t="s">
        <v>418</v>
      </c>
      <c r="G566" s="44" t="s">
        <v>46</v>
      </c>
      <c r="H566" s="44" t="s">
        <v>30</v>
      </c>
      <c r="I566" s="314" t="s">
        <v>30</v>
      </c>
      <c r="J566" s="314" t="s">
        <v>46</v>
      </c>
      <c r="K566" s="314" t="s">
        <v>30</v>
      </c>
      <c r="L566" s="44" t="s">
        <v>25</v>
      </c>
      <c r="M566" s="44" t="s">
        <v>25</v>
      </c>
      <c r="N566" s="44" t="s">
        <v>429</v>
      </c>
      <c r="O566" s="44" t="s">
        <v>25</v>
      </c>
      <c r="P566" s="44" t="s">
        <v>25</v>
      </c>
      <c r="Q566" s="44" t="s">
        <v>25</v>
      </c>
    </row>
    <row r="567" spans="1:20" x14ac:dyDescent="0.25">
      <c r="A567">
        <v>1</v>
      </c>
      <c r="B567" s="231">
        <v>2018</v>
      </c>
      <c r="C567" s="19"/>
      <c r="D567" s="20">
        <v>2</v>
      </c>
      <c r="E567" s="156">
        <v>1</v>
      </c>
      <c r="F567" s="302">
        <f>D567*E567*($H$514/$H$485)</f>
        <v>4491.5782907049279</v>
      </c>
      <c r="G567" s="27">
        <f>F567*131.73*0.0546*1000/907200+D567*E567*H$514*1.966/907200*21+D567*E567*H$514*0.175/907200*310</f>
        <v>43.192328273376305</v>
      </c>
      <c r="H567" s="529">
        <f>F567*C$486</f>
        <v>15001.871490954458</v>
      </c>
      <c r="I567" s="170">
        <f>D567*E567*($H$514/$H$483)</f>
        <v>15450.643776824034</v>
      </c>
      <c r="J567" s="27">
        <f>I567*10.21*1000/907200+D567*E567*H$514*0.0051/907200*21+D567*E567*H$514*0.0048/907200*310</f>
        <v>174.01446225900946</v>
      </c>
      <c r="K567" s="306">
        <f>I567*$C$484</f>
        <v>39553.648068669529</v>
      </c>
      <c r="L567" s="530">
        <f>K567-H567</f>
        <v>24551.776577715071</v>
      </c>
      <c r="M567" s="306">
        <v>0</v>
      </c>
      <c r="N567" s="343">
        <f>C567*Assumptions!$B$8</f>
        <v>0</v>
      </c>
      <c r="O567" s="306">
        <f>L567-N567</f>
        <v>24551.776577715071</v>
      </c>
      <c r="P567" s="306"/>
      <c r="Q567" s="306"/>
    </row>
    <row r="568" spans="1:20" x14ac:dyDescent="0.25">
      <c r="A568">
        <f t="shared" ref="A568:B568" si="92">A567+1</f>
        <v>2</v>
      </c>
      <c r="B568" s="231">
        <f t="shared" si="92"/>
        <v>2019</v>
      </c>
      <c r="C568" s="19"/>
      <c r="D568" s="20">
        <f>D567+C568</f>
        <v>2</v>
      </c>
      <c r="E568" s="156">
        <v>1</v>
      </c>
      <c r="F568" s="302">
        <f t="shared" ref="F568:F606" si="93">D568*E568*($H$514/$H$485)</f>
        <v>4491.5782907049279</v>
      </c>
      <c r="G568" s="27">
        <f t="shared" ref="G568:G606" si="94">F568*131.73*0.0546*1000/907200+D568*E568*H$514*1.966/907200*21+D568*E568*H$514*0.175/907200*310</f>
        <v>43.192328273376305</v>
      </c>
      <c r="H568" s="529">
        <f t="shared" ref="H568:H606" si="95">F568*C$486</f>
        <v>15001.871490954458</v>
      </c>
      <c r="I568" s="170">
        <f t="shared" ref="I568:I606" si="96">D568*E568*($H$514/$H$483)</f>
        <v>15450.643776824034</v>
      </c>
      <c r="J568" s="27">
        <f t="shared" ref="J568:J606" si="97">I568*10.21*1000/907200+D568*E568*H$514*0.0051/907200*21+D568*E568*H$514*0.0048/907200*310</f>
        <v>174.01446225900946</v>
      </c>
      <c r="K568" s="306">
        <f t="shared" ref="K568:K606" si="98">I568*$C$484</f>
        <v>39553.648068669529</v>
      </c>
      <c r="L568" s="530">
        <f t="shared" ref="L568:L606" si="99">K568-H568</f>
        <v>24551.776577715071</v>
      </c>
      <c r="M568" s="306">
        <f>M567+L568</f>
        <v>24551.776577715071</v>
      </c>
      <c r="N568" s="343">
        <f>C568*Assumptions!$B$8</f>
        <v>0</v>
      </c>
      <c r="O568" s="306">
        <f>O567+L568-N568</f>
        <v>49103.553155430141</v>
      </c>
      <c r="P568" s="306"/>
      <c r="Q568" s="306"/>
    </row>
    <row r="569" spans="1:20" x14ac:dyDescent="0.25">
      <c r="A569">
        <f t="shared" ref="A569:B569" si="100">A568+1</f>
        <v>3</v>
      </c>
      <c r="B569" s="231">
        <f t="shared" si="100"/>
        <v>2020</v>
      </c>
      <c r="C569" s="19">
        <f>'Environmental Protection'!D40-'Environmental Protection'!D39</f>
        <v>3</v>
      </c>
      <c r="D569" s="20">
        <f t="shared" ref="D569:D606" si="101">D568+C569</f>
        <v>5</v>
      </c>
      <c r="E569" s="156">
        <v>1</v>
      </c>
      <c r="F569" s="302">
        <f t="shared" si="93"/>
        <v>11228.94572676232</v>
      </c>
      <c r="G569" s="27">
        <f t="shared" si="94"/>
        <v>107.98082068344077</v>
      </c>
      <c r="H569" s="529">
        <f t="shared" si="95"/>
        <v>37504.678727386148</v>
      </c>
      <c r="I569" s="170">
        <f t="shared" si="96"/>
        <v>38626.609442060086</v>
      </c>
      <c r="J569" s="27">
        <f t="shared" si="97"/>
        <v>435.03615564752374</v>
      </c>
      <c r="K569" s="306">
        <f t="shared" si="98"/>
        <v>98884.120171673829</v>
      </c>
      <c r="L569" s="530">
        <f t="shared" si="99"/>
        <v>61379.44144428768</v>
      </c>
      <c r="M569" s="306">
        <f t="shared" ref="M569:M606" si="102">M568+L569</f>
        <v>85931.218022002751</v>
      </c>
      <c r="N569" s="343">
        <f>C569*Assumptions!$B$8</f>
        <v>150000</v>
      </c>
      <c r="O569" s="306">
        <f t="shared" ref="O569:O606" si="103">O568+L569-N569</f>
        <v>-39517.005400282185</v>
      </c>
      <c r="P569" s="306"/>
      <c r="Q569" s="306"/>
    </row>
    <row r="570" spans="1:20" x14ac:dyDescent="0.25">
      <c r="A570">
        <f t="shared" ref="A570:B570" si="104">A569+1</f>
        <v>4</v>
      </c>
      <c r="B570" s="231">
        <f t="shared" si="104"/>
        <v>2021</v>
      </c>
      <c r="C570" s="19">
        <f>'Environmental Protection'!D41-'Environmental Protection'!D40</f>
        <v>5</v>
      </c>
      <c r="D570" s="20">
        <f t="shared" si="101"/>
        <v>10</v>
      </c>
      <c r="E570" s="156">
        <v>1</v>
      </c>
      <c r="F570" s="302">
        <f t="shared" si="93"/>
        <v>22457.89145352464</v>
      </c>
      <c r="G570" s="27">
        <f t="shared" si="94"/>
        <v>215.96164136688154</v>
      </c>
      <c r="H570" s="529">
        <f t="shared" si="95"/>
        <v>75009.357454772296</v>
      </c>
      <c r="I570" s="170">
        <f t="shared" si="96"/>
        <v>77253.218884120171</v>
      </c>
      <c r="J570" s="27">
        <f t="shared" si="97"/>
        <v>870.07231129504748</v>
      </c>
      <c r="K570" s="306">
        <f t="shared" si="98"/>
        <v>197768.24034334766</v>
      </c>
      <c r="L570" s="530">
        <f t="shared" si="99"/>
        <v>122758.88288857536</v>
      </c>
      <c r="M570" s="306">
        <f t="shared" si="102"/>
        <v>208690.1009105781</v>
      </c>
      <c r="N570" s="343">
        <f>C570*Assumptions!$B$8</f>
        <v>250000</v>
      </c>
      <c r="O570" s="306">
        <f t="shared" si="103"/>
        <v>-166758.12251170684</v>
      </c>
      <c r="P570" s="306"/>
      <c r="Q570" s="306"/>
    </row>
    <row r="571" spans="1:20" x14ac:dyDescent="0.25">
      <c r="A571">
        <f t="shared" ref="A571:B571" si="105">A570+1</f>
        <v>5</v>
      </c>
      <c r="B571" s="231">
        <f t="shared" si="105"/>
        <v>2022</v>
      </c>
      <c r="C571" s="19">
        <f>'Environmental Protection'!D42-'Environmental Protection'!D41</f>
        <v>5</v>
      </c>
      <c r="D571" s="20">
        <f t="shared" si="101"/>
        <v>15</v>
      </c>
      <c r="E571" s="156">
        <v>1</v>
      </c>
      <c r="F571" s="302">
        <f t="shared" si="93"/>
        <v>33686.837180286959</v>
      </c>
      <c r="G571" s="27">
        <f t="shared" si="94"/>
        <v>323.94246205032226</v>
      </c>
      <c r="H571" s="529">
        <f t="shared" si="95"/>
        <v>112514.03618215844</v>
      </c>
      <c r="I571" s="170">
        <f t="shared" si="96"/>
        <v>115879.82832618026</v>
      </c>
      <c r="J571" s="27">
        <f t="shared" si="97"/>
        <v>1305.1084669425713</v>
      </c>
      <c r="K571" s="306">
        <f t="shared" si="98"/>
        <v>296652.36051502149</v>
      </c>
      <c r="L571" s="530">
        <f t="shared" si="99"/>
        <v>184138.32433286303</v>
      </c>
      <c r="M571" s="306">
        <f t="shared" si="102"/>
        <v>392828.42524344113</v>
      </c>
      <c r="N571" s="343">
        <f>C571*Assumptions!$B$8</f>
        <v>250000</v>
      </c>
      <c r="O571" s="306">
        <f t="shared" si="103"/>
        <v>-232619.7981788438</v>
      </c>
      <c r="P571" s="306"/>
      <c r="Q571" s="306"/>
    </row>
    <row r="572" spans="1:20" x14ac:dyDescent="0.25">
      <c r="A572">
        <f t="shared" ref="A572:B572" si="106">A571+1</f>
        <v>6</v>
      </c>
      <c r="B572" s="231">
        <f t="shared" si="106"/>
        <v>2023</v>
      </c>
      <c r="C572" s="19">
        <f>'Environmental Protection'!D43-'Environmental Protection'!D42</f>
        <v>5</v>
      </c>
      <c r="D572" s="20">
        <f t="shared" si="101"/>
        <v>20</v>
      </c>
      <c r="E572" s="156">
        <v>1</v>
      </c>
      <c r="F572" s="302">
        <f t="shared" si="93"/>
        <v>44915.782907049281</v>
      </c>
      <c r="G572" s="27">
        <f t="shared" si="94"/>
        <v>431.92328273376307</v>
      </c>
      <c r="H572" s="529">
        <f t="shared" si="95"/>
        <v>150018.71490954459</v>
      </c>
      <c r="I572" s="170">
        <f t="shared" si="96"/>
        <v>154506.43776824034</v>
      </c>
      <c r="J572" s="27">
        <f t="shared" si="97"/>
        <v>1740.144622590095</v>
      </c>
      <c r="K572" s="306">
        <f t="shared" si="98"/>
        <v>395536.48068669531</v>
      </c>
      <c r="L572" s="530">
        <f t="shared" si="99"/>
        <v>245517.76577715072</v>
      </c>
      <c r="M572" s="306">
        <f t="shared" si="102"/>
        <v>638346.19102059188</v>
      </c>
      <c r="N572" s="343">
        <f>C572*Assumptions!$B$8</f>
        <v>250000</v>
      </c>
      <c r="O572" s="306">
        <f t="shared" si="103"/>
        <v>-237102.03240169308</v>
      </c>
      <c r="P572" s="306"/>
      <c r="Q572" s="306"/>
    </row>
    <row r="573" spans="1:20" x14ac:dyDescent="0.25">
      <c r="A573">
        <f t="shared" ref="A573:B573" si="107">A572+1</f>
        <v>7</v>
      </c>
      <c r="B573" s="231">
        <f t="shared" si="107"/>
        <v>2024</v>
      </c>
      <c r="C573" s="19">
        <f>'Environmental Protection'!D44-'Environmental Protection'!D43</f>
        <v>5</v>
      </c>
      <c r="D573" s="20">
        <f t="shared" si="101"/>
        <v>25</v>
      </c>
      <c r="E573" s="156">
        <v>1</v>
      </c>
      <c r="F573" s="302">
        <f t="shared" si="93"/>
        <v>56144.728633811596</v>
      </c>
      <c r="G573" s="27">
        <f t="shared" si="94"/>
        <v>539.90410341720371</v>
      </c>
      <c r="H573" s="529">
        <f t="shared" si="95"/>
        <v>187523.39363693073</v>
      </c>
      <c r="I573" s="170">
        <f t="shared" si="96"/>
        <v>193133.04721030043</v>
      </c>
      <c r="J573" s="27">
        <f t="shared" si="97"/>
        <v>2175.1807782376181</v>
      </c>
      <c r="K573" s="306">
        <f t="shared" si="98"/>
        <v>494420.60085836909</v>
      </c>
      <c r="L573" s="530">
        <f t="shared" si="99"/>
        <v>306897.20722143835</v>
      </c>
      <c r="M573" s="306">
        <f t="shared" si="102"/>
        <v>945243.39824203029</v>
      </c>
      <c r="N573" s="343">
        <f>C573*Assumptions!$B$8</f>
        <v>250000</v>
      </c>
      <c r="O573" s="306">
        <f t="shared" si="103"/>
        <v>-180204.82518025473</v>
      </c>
      <c r="P573" s="306"/>
      <c r="Q573" s="306"/>
    </row>
    <row r="574" spans="1:20" x14ac:dyDescent="0.25">
      <c r="A574">
        <f t="shared" ref="A574:B574" si="108">A573+1</f>
        <v>8</v>
      </c>
      <c r="B574" s="231">
        <f t="shared" si="108"/>
        <v>2025</v>
      </c>
      <c r="C574" s="19">
        <f>'Environmental Protection'!D45-'Environmental Protection'!D44</f>
        <v>5</v>
      </c>
      <c r="D574" s="20">
        <f t="shared" si="101"/>
        <v>30</v>
      </c>
      <c r="E574" s="156">
        <v>1</v>
      </c>
      <c r="F574" s="302">
        <f t="shared" si="93"/>
        <v>67373.674360573918</v>
      </c>
      <c r="G574" s="27">
        <f t="shared" si="94"/>
        <v>647.88492410064453</v>
      </c>
      <c r="H574" s="529">
        <f t="shared" si="95"/>
        <v>225028.07236431687</v>
      </c>
      <c r="I574" s="170">
        <f t="shared" si="96"/>
        <v>231759.65665236051</v>
      </c>
      <c r="J574" s="27">
        <f t="shared" si="97"/>
        <v>2610.2169338851427</v>
      </c>
      <c r="K574" s="306">
        <f t="shared" si="98"/>
        <v>593304.72103004297</v>
      </c>
      <c r="L574" s="530">
        <f t="shared" si="99"/>
        <v>368276.64866572607</v>
      </c>
      <c r="M574" s="306">
        <f t="shared" si="102"/>
        <v>1313520.0469077565</v>
      </c>
      <c r="N574" s="343">
        <f>C574*Assumptions!$B$8</f>
        <v>250000</v>
      </c>
      <c r="O574" s="306">
        <f t="shared" si="103"/>
        <v>-61928.176514528663</v>
      </c>
      <c r="P574" s="306"/>
      <c r="Q574" s="306"/>
    </row>
    <row r="575" spans="1:20" x14ac:dyDescent="0.25">
      <c r="A575">
        <f t="shared" ref="A575:B575" si="109">A574+1</f>
        <v>9</v>
      </c>
      <c r="B575" s="231">
        <f t="shared" si="109"/>
        <v>2026</v>
      </c>
      <c r="C575" s="19">
        <f>'Environmental Protection'!D46-'Environmental Protection'!D45</f>
        <v>10</v>
      </c>
      <c r="D575" s="20">
        <f t="shared" si="101"/>
        <v>40</v>
      </c>
      <c r="E575" s="156">
        <v>1</v>
      </c>
      <c r="F575" s="302">
        <f t="shared" si="93"/>
        <v>89831.565814098562</v>
      </c>
      <c r="G575" s="27">
        <f t="shared" si="94"/>
        <v>863.84656546752615</v>
      </c>
      <c r="H575" s="529">
        <f t="shared" si="95"/>
        <v>300037.42981908919</v>
      </c>
      <c r="I575" s="170">
        <f t="shared" si="96"/>
        <v>309012.87553648069</v>
      </c>
      <c r="J575" s="27">
        <f t="shared" si="97"/>
        <v>3480.2892451801899</v>
      </c>
      <c r="K575" s="306">
        <f t="shared" si="98"/>
        <v>791072.96137339063</v>
      </c>
      <c r="L575" s="530">
        <f t="shared" si="99"/>
        <v>491035.53155430144</v>
      </c>
      <c r="M575" s="306">
        <f t="shared" si="102"/>
        <v>1804555.578462058</v>
      </c>
      <c r="N575" s="343">
        <f>C575*Assumptions!$B$8</f>
        <v>500000</v>
      </c>
      <c r="O575" s="306">
        <f t="shared" si="103"/>
        <v>-70892.64496022719</v>
      </c>
      <c r="P575" s="306"/>
      <c r="Q575" s="306"/>
    </row>
    <row r="576" spans="1:20" x14ac:dyDescent="0.25">
      <c r="A576">
        <f t="shared" ref="A576:B576" si="110">A575+1</f>
        <v>10</v>
      </c>
      <c r="B576" s="231">
        <f t="shared" si="110"/>
        <v>2027</v>
      </c>
      <c r="C576" s="19">
        <f>'Environmental Protection'!D47-'Environmental Protection'!D46</f>
        <v>10</v>
      </c>
      <c r="D576" s="20">
        <f t="shared" si="101"/>
        <v>50</v>
      </c>
      <c r="E576" s="156">
        <v>1</v>
      </c>
      <c r="F576" s="302">
        <f t="shared" si="93"/>
        <v>112289.45726762319</v>
      </c>
      <c r="G576" s="27">
        <f t="shared" si="94"/>
        <v>1079.8082068344074</v>
      </c>
      <c r="H576" s="529">
        <f t="shared" si="95"/>
        <v>375046.78727386147</v>
      </c>
      <c r="I576" s="170">
        <f t="shared" si="96"/>
        <v>386266.09442060086</v>
      </c>
      <c r="J576" s="27">
        <f t="shared" si="97"/>
        <v>4350.3615564752363</v>
      </c>
      <c r="K576" s="306">
        <f t="shared" si="98"/>
        <v>988841.20171673817</v>
      </c>
      <c r="L576" s="530">
        <f t="shared" si="99"/>
        <v>613794.4144428767</v>
      </c>
      <c r="M576" s="306">
        <f t="shared" si="102"/>
        <v>2418349.9929049346</v>
      </c>
      <c r="N576" s="343">
        <f>C576*Assumptions!$B$8</f>
        <v>500000</v>
      </c>
      <c r="O576" s="306">
        <f t="shared" si="103"/>
        <v>42901.769482649514</v>
      </c>
      <c r="P576" s="306"/>
      <c r="Q576" s="306"/>
    </row>
    <row r="577" spans="1:17" x14ac:dyDescent="0.25">
      <c r="A577">
        <f t="shared" ref="A577:B577" si="111">A576+1</f>
        <v>11</v>
      </c>
      <c r="B577" s="231">
        <f t="shared" si="111"/>
        <v>2028</v>
      </c>
      <c r="C577" s="19">
        <f>'Environmental Protection'!D48-'Environmental Protection'!D47</f>
        <v>10</v>
      </c>
      <c r="D577" s="20">
        <f t="shared" si="101"/>
        <v>60</v>
      </c>
      <c r="E577" s="156">
        <v>1</v>
      </c>
      <c r="F577" s="302">
        <f t="shared" si="93"/>
        <v>134747.34872114784</v>
      </c>
      <c r="G577" s="27">
        <f t="shared" si="94"/>
        <v>1295.7698482012891</v>
      </c>
      <c r="H577" s="529">
        <f t="shared" si="95"/>
        <v>450056.14472863375</v>
      </c>
      <c r="I577" s="170">
        <f t="shared" si="96"/>
        <v>463519.31330472103</v>
      </c>
      <c r="J577" s="27">
        <f t="shared" si="97"/>
        <v>5220.4338677702854</v>
      </c>
      <c r="K577" s="306">
        <f t="shared" si="98"/>
        <v>1186609.4420600859</v>
      </c>
      <c r="L577" s="530">
        <f t="shared" si="99"/>
        <v>736553.29733145214</v>
      </c>
      <c r="M577" s="306">
        <f t="shared" si="102"/>
        <v>3154903.2902363865</v>
      </c>
      <c r="N577" s="343">
        <f>C577*Assumptions!$B$8</f>
        <v>500000</v>
      </c>
      <c r="O577" s="306">
        <f t="shared" si="103"/>
        <v>279455.06681410165</v>
      </c>
      <c r="P577" s="306"/>
      <c r="Q577" s="306"/>
    </row>
    <row r="578" spans="1:17" x14ac:dyDescent="0.25">
      <c r="A578">
        <f t="shared" ref="A578:B578" si="112">A577+1</f>
        <v>12</v>
      </c>
      <c r="B578" s="231">
        <f t="shared" si="112"/>
        <v>2029</v>
      </c>
      <c r="C578" s="19">
        <f>'Environmental Protection'!D49-'Environmental Protection'!D48</f>
        <v>15</v>
      </c>
      <c r="D578" s="20">
        <f t="shared" si="101"/>
        <v>75</v>
      </c>
      <c r="E578" s="156">
        <v>1</v>
      </c>
      <c r="F578" s="302">
        <f t="shared" si="93"/>
        <v>168434.1859014348</v>
      </c>
      <c r="G578" s="27">
        <f t="shared" si="94"/>
        <v>1619.7123102516111</v>
      </c>
      <c r="H578" s="529">
        <f t="shared" si="95"/>
        <v>562570.1809107922</v>
      </c>
      <c r="I578" s="170">
        <f t="shared" si="96"/>
        <v>579399.14163090126</v>
      </c>
      <c r="J578" s="27">
        <f t="shared" si="97"/>
        <v>6525.5423347128553</v>
      </c>
      <c r="K578" s="306">
        <f t="shared" si="98"/>
        <v>1483261.8025751072</v>
      </c>
      <c r="L578" s="530">
        <f t="shared" si="99"/>
        <v>920691.621664315</v>
      </c>
      <c r="M578" s="306">
        <f t="shared" si="102"/>
        <v>4075594.9119007015</v>
      </c>
      <c r="N578" s="343">
        <f>C578*Assumptions!$B$8</f>
        <v>750000</v>
      </c>
      <c r="O578" s="306">
        <f t="shared" si="103"/>
        <v>450146.68847841676</v>
      </c>
      <c r="P578" s="306"/>
      <c r="Q578" s="306"/>
    </row>
    <row r="579" spans="1:17" x14ac:dyDescent="0.25">
      <c r="A579">
        <f t="shared" ref="A579:B579" si="113">A578+1</f>
        <v>13</v>
      </c>
      <c r="B579" s="231">
        <f t="shared" si="113"/>
        <v>2030</v>
      </c>
      <c r="C579" s="19">
        <f>'Environmental Protection'!D50-'Environmental Protection'!D49</f>
        <v>0</v>
      </c>
      <c r="D579" s="20">
        <f t="shared" si="101"/>
        <v>75</v>
      </c>
      <c r="E579" s="156">
        <v>1</v>
      </c>
      <c r="F579" s="302">
        <f t="shared" si="93"/>
        <v>168434.1859014348</v>
      </c>
      <c r="G579" s="27">
        <f t="shared" si="94"/>
        <v>1619.7123102516111</v>
      </c>
      <c r="H579" s="529">
        <f t="shared" si="95"/>
        <v>562570.1809107922</v>
      </c>
      <c r="I579" s="170">
        <f t="shared" si="96"/>
        <v>579399.14163090126</v>
      </c>
      <c r="J579" s="27">
        <f t="shared" si="97"/>
        <v>6525.5423347128553</v>
      </c>
      <c r="K579" s="306">
        <f t="shared" si="98"/>
        <v>1483261.8025751072</v>
      </c>
      <c r="L579" s="530">
        <f t="shared" si="99"/>
        <v>920691.621664315</v>
      </c>
      <c r="M579" s="306">
        <f t="shared" si="102"/>
        <v>4996286.5335650165</v>
      </c>
      <c r="N579" s="343">
        <f>C579*Assumptions!$B$8</f>
        <v>0</v>
      </c>
      <c r="O579" s="306">
        <f t="shared" si="103"/>
        <v>1370838.3101427318</v>
      </c>
      <c r="P579" s="306"/>
      <c r="Q579" s="306"/>
    </row>
    <row r="580" spans="1:17" x14ac:dyDescent="0.25">
      <c r="A580">
        <f t="shared" ref="A580:B580" si="114">A579+1</f>
        <v>14</v>
      </c>
      <c r="B580" s="231">
        <f t="shared" si="114"/>
        <v>2031</v>
      </c>
      <c r="C580" s="19">
        <f>'Environmental Protection'!D51-'Environmental Protection'!D50</f>
        <v>0</v>
      </c>
      <c r="D580" s="20">
        <f t="shared" si="101"/>
        <v>75</v>
      </c>
      <c r="E580" s="156">
        <v>1</v>
      </c>
      <c r="F580" s="302">
        <f t="shared" si="93"/>
        <v>168434.1859014348</v>
      </c>
      <c r="G580" s="27">
        <f t="shared" si="94"/>
        <v>1619.7123102516111</v>
      </c>
      <c r="H580" s="529">
        <f t="shared" si="95"/>
        <v>562570.1809107922</v>
      </c>
      <c r="I580" s="170">
        <f t="shared" si="96"/>
        <v>579399.14163090126</v>
      </c>
      <c r="J580" s="27">
        <f t="shared" si="97"/>
        <v>6525.5423347128553</v>
      </c>
      <c r="K580" s="306">
        <f t="shared" si="98"/>
        <v>1483261.8025751072</v>
      </c>
      <c r="L580" s="530">
        <f t="shared" si="99"/>
        <v>920691.621664315</v>
      </c>
      <c r="M580" s="306">
        <f t="shared" si="102"/>
        <v>5916978.1552293319</v>
      </c>
      <c r="N580" s="343">
        <f>C580*Assumptions!$B$8</f>
        <v>0</v>
      </c>
      <c r="O580" s="306">
        <f t="shared" si="103"/>
        <v>2291529.9318070468</v>
      </c>
      <c r="P580" s="306"/>
      <c r="Q580" s="306"/>
    </row>
    <row r="581" spans="1:17" x14ac:dyDescent="0.25">
      <c r="A581">
        <f t="shared" ref="A581:B581" si="115">A580+1</f>
        <v>15</v>
      </c>
      <c r="B581" s="231">
        <f t="shared" si="115"/>
        <v>2032</v>
      </c>
      <c r="C581" s="19">
        <f>'Environmental Protection'!D52-'Environmental Protection'!D51</f>
        <v>0</v>
      </c>
      <c r="D581" s="20">
        <f t="shared" si="101"/>
        <v>75</v>
      </c>
      <c r="E581" s="156">
        <v>1</v>
      </c>
      <c r="F581" s="302">
        <f t="shared" si="93"/>
        <v>168434.1859014348</v>
      </c>
      <c r="G581" s="27">
        <f t="shared" si="94"/>
        <v>1619.7123102516111</v>
      </c>
      <c r="H581" s="529">
        <f t="shared" si="95"/>
        <v>562570.1809107922</v>
      </c>
      <c r="I581" s="170">
        <f t="shared" si="96"/>
        <v>579399.14163090126</v>
      </c>
      <c r="J581" s="27">
        <f t="shared" si="97"/>
        <v>6525.5423347128553</v>
      </c>
      <c r="K581" s="306">
        <f t="shared" si="98"/>
        <v>1483261.8025751072</v>
      </c>
      <c r="L581" s="530">
        <f t="shared" si="99"/>
        <v>920691.621664315</v>
      </c>
      <c r="M581" s="306">
        <f t="shared" si="102"/>
        <v>6837669.7768936474</v>
      </c>
      <c r="N581" s="343">
        <f>C581*Assumptions!$B$8</f>
        <v>0</v>
      </c>
      <c r="O581" s="306">
        <f t="shared" si="103"/>
        <v>3212221.5534713618</v>
      </c>
      <c r="P581" s="306"/>
      <c r="Q581" s="306"/>
    </row>
    <row r="582" spans="1:17" x14ac:dyDescent="0.25">
      <c r="A582">
        <f t="shared" ref="A582:B582" si="116">A581+1</f>
        <v>16</v>
      </c>
      <c r="B582" s="231">
        <f t="shared" si="116"/>
        <v>2033</v>
      </c>
      <c r="C582" s="19">
        <f>'Environmental Protection'!D53-'Environmental Protection'!D52</f>
        <v>0</v>
      </c>
      <c r="D582" s="20">
        <f t="shared" si="101"/>
        <v>75</v>
      </c>
      <c r="E582" s="156">
        <v>1</v>
      </c>
      <c r="F582" s="302">
        <f t="shared" si="93"/>
        <v>168434.1859014348</v>
      </c>
      <c r="G582" s="27">
        <f t="shared" si="94"/>
        <v>1619.7123102516111</v>
      </c>
      <c r="H582" s="529">
        <f t="shared" si="95"/>
        <v>562570.1809107922</v>
      </c>
      <c r="I582" s="170">
        <f t="shared" si="96"/>
        <v>579399.14163090126</v>
      </c>
      <c r="J582" s="27">
        <f t="shared" si="97"/>
        <v>6525.5423347128553</v>
      </c>
      <c r="K582" s="306">
        <f t="shared" si="98"/>
        <v>1483261.8025751072</v>
      </c>
      <c r="L582" s="530">
        <f t="shared" si="99"/>
        <v>920691.621664315</v>
      </c>
      <c r="M582" s="306">
        <f t="shared" si="102"/>
        <v>7758361.3985579628</v>
      </c>
      <c r="N582" s="343">
        <f>C582*Assumptions!$B$8</f>
        <v>0</v>
      </c>
      <c r="O582" s="306">
        <f t="shared" si="103"/>
        <v>4132913.1751356767</v>
      </c>
      <c r="P582" s="306"/>
      <c r="Q582" s="306"/>
    </row>
    <row r="583" spans="1:17" x14ac:dyDescent="0.25">
      <c r="A583">
        <f t="shared" ref="A583:B583" si="117">A582+1</f>
        <v>17</v>
      </c>
      <c r="B583" s="231">
        <f t="shared" si="117"/>
        <v>2034</v>
      </c>
      <c r="C583" s="19">
        <f>'Environmental Protection'!D54-'Environmental Protection'!D53</f>
        <v>0</v>
      </c>
      <c r="D583" s="20">
        <f t="shared" si="101"/>
        <v>75</v>
      </c>
      <c r="E583" s="156">
        <v>1</v>
      </c>
      <c r="F583" s="302">
        <f t="shared" si="93"/>
        <v>168434.1859014348</v>
      </c>
      <c r="G583" s="27">
        <f t="shared" si="94"/>
        <v>1619.7123102516111</v>
      </c>
      <c r="H583" s="529">
        <f t="shared" si="95"/>
        <v>562570.1809107922</v>
      </c>
      <c r="I583" s="170">
        <f t="shared" si="96"/>
        <v>579399.14163090126</v>
      </c>
      <c r="J583" s="27">
        <f t="shared" si="97"/>
        <v>6525.5423347128553</v>
      </c>
      <c r="K583" s="306">
        <f t="shared" si="98"/>
        <v>1483261.8025751072</v>
      </c>
      <c r="L583" s="530">
        <f t="shared" si="99"/>
        <v>920691.621664315</v>
      </c>
      <c r="M583" s="306">
        <f t="shared" si="102"/>
        <v>8679053.0202222783</v>
      </c>
      <c r="N583" s="343">
        <f>C583*Assumptions!$B$8</f>
        <v>0</v>
      </c>
      <c r="O583" s="306">
        <f t="shared" si="103"/>
        <v>5053604.7967999913</v>
      </c>
      <c r="P583" s="306"/>
      <c r="Q583" s="306"/>
    </row>
    <row r="584" spans="1:17" x14ac:dyDescent="0.25">
      <c r="A584">
        <f t="shared" ref="A584:B584" si="118">A583+1</f>
        <v>18</v>
      </c>
      <c r="B584" s="231">
        <f t="shared" si="118"/>
        <v>2035</v>
      </c>
      <c r="C584" s="19">
        <f>'Environmental Protection'!D55-'Environmental Protection'!D54</f>
        <v>0</v>
      </c>
      <c r="D584" s="20">
        <f t="shared" si="101"/>
        <v>75</v>
      </c>
      <c r="E584" s="156">
        <v>1</v>
      </c>
      <c r="F584" s="302">
        <f t="shared" si="93"/>
        <v>168434.1859014348</v>
      </c>
      <c r="G584" s="27">
        <f t="shared" si="94"/>
        <v>1619.7123102516111</v>
      </c>
      <c r="H584" s="529">
        <f t="shared" si="95"/>
        <v>562570.1809107922</v>
      </c>
      <c r="I584" s="170">
        <f t="shared" si="96"/>
        <v>579399.14163090126</v>
      </c>
      <c r="J584" s="27">
        <f t="shared" si="97"/>
        <v>6525.5423347128553</v>
      </c>
      <c r="K584" s="306">
        <f t="shared" si="98"/>
        <v>1483261.8025751072</v>
      </c>
      <c r="L584" s="530">
        <f t="shared" si="99"/>
        <v>920691.621664315</v>
      </c>
      <c r="M584" s="306">
        <f t="shared" si="102"/>
        <v>9599744.6418865938</v>
      </c>
      <c r="N584" s="343">
        <f>C584*Assumptions!$B$8</f>
        <v>0</v>
      </c>
      <c r="O584" s="306">
        <f t="shared" si="103"/>
        <v>5974296.4184643067</v>
      </c>
      <c r="P584" s="306"/>
      <c r="Q584" s="306"/>
    </row>
    <row r="585" spans="1:17" x14ac:dyDescent="0.25">
      <c r="A585">
        <f t="shared" ref="A585:B585" si="119">A584+1</f>
        <v>19</v>
      </c>
      <c r="B585" s="231">
        <f t="shared" si="119"/>
        <v>2036</v>
      </c>
      <c r="C585" s="19">
        <f>'Environmental Protection'!D56-'Environmental Protection'!D55</f>
        <v>0</v>
      </c>
      <c r="D585" s="20">
        <f t="shared" si="101"/>
        <v>75</v>
      </c>
      <c r="E585" s="156">
        <v>1</v>
      </c>
      <c r="F585" s="302">
        <f t="shared" si="93"/>
        <v>168434.1859014348</v>
      </c>
      <c r="G585" s="27">
        <f t="shared" si="94"/>
        <v>1619.7123102516111</v>
      </c>
      <c r="H585" s="529">
        <f t="shared" si="95"/>
        <v>562570.1809107922</v>
      </c>
      <c r="I585" s="170">
        <f t="shared" si="96"/>
        <v>579399.14163090126</v>
      </c>
      <c r="J585" s="27">
        <f t="shared" si="97"/>
        <v>6525.5423347128553</v>
      </c>
      <c r="K585" s="306">
        <f t="shared" si="98"/>
        <v>1483261.8025751072</v>
      </c>
      <c r="L585" s="530">
        <f t="shared" si="99"/>
        <v>920691.621664315</v>
      </c>
      <c r="M585" s="306">
        <f t="shared" si="102"/>
        <v>10520436.263550909</v>
      </c>
      <c r="N585" s="343">
        <f>C585*Assumptions!$B$8</f>
        <v>0</v>
      </c>
      <c r="O585" s="306">
        <f t="shared" si="103"/>
        <v>6894988.0401286222</v>
      </c>
      <c r="P585" s="306"/>
      <c r="Q585" s="306"/>
    </row>
    <row r="586" spans="1:17" x14ac:dyDescent="0.25">
      <c r="A586">
        <f t="shared" ref="A586:B586" si="120">A585+1</f>
        <v>20</v>
      </c>
      <c r="B586" s="231">
        <f t="shared" si="120"/>
        <v>2037</v>
      </c>
      <c r="C586" s="19">
        <f>'Environmental Protection'!D57-'Environmental Protection'!D56</f>
        <v>0</v>
      </c>
      <c r="D586" s="20">
        <f t="shared" si="101"/>
        <v>75</v>
      </c>
      <c r="E586" s="156">
        <v>1</v>
      </c>
      <c r="F586" s="302">
        <f t="shared" si="93"/>
        <v>168434.1859014348</v>
      </c>
      <c r="G586" s="27">
        <f t="shared" si="94"/>
        <v>1619.7123102516111</v>
      </c>
      <c r="H586" s="529">
        <f t="shared" si="95"/>
        <v>562570.1809107922</v>
      </c>
      <c r="I586" s="170">
        <f t="shared" si="96"/>
        <v>579399.14163090126</v>
      </c>
      <c r="J586" s="27">
        <f t="shared" si="97"/>
        <v>6525.5423347128553</v>
      </c>
      <c r="K586" s="306">
        <f t="shared" si="98"/>
        <v>1483261.8025751072</v>
      </c>
      <c r="L586" s="530">
        <f t="shared" si="99"/>
        <v>920691.621664315</v>
      </c>
      <c r="M586" s="306">
        <f t="shared" si="102"/>
        <v>11441127.885215225</v>
      </c>
      <c r="N586" s="343">
        <f>C586*Assumptions!$B$8</f>
        <v>0</v>
      </c>
      <c r="O586" s="306">
        <f t="shared" si="103"/>
        <v>7815679.6617929377</v>
      </c>
      <c r="P586" s="306"/>
      <c r="Q586" s="306"/>
    </row>
    <row r="587" spans="1:17" x14ac:dyDescent="0.25">
      <c r="A587">
        <f t="shared" ref="A587:B587" si="121">A586+1</f>
        <v>21</v>
      </c>
      <c r="B587" s="231">
        <f t="shared" si="121"/>
        <v>2038</v>
      </c>
      <c r="C587" s="19">
        <f>'Environmental Protection'!D58-'Environmental Protection'!D57</f>
        <v>0</v>
      </c>
      <c r="D587" s="20">
        <f t="shared" si="101"/>
        <v>75</v>
      </c>
      <c r="E587" s="156">
        <v>1</v>
      </c>
      <c r="F587" s="302">
        <f t="shared" si="93"/>
        <v>168434.1859014348</v>
      </c>
      <c r="G587" s="27">
        <f t="shared" si="94"/>
        <v>1619.7123102516111</v>
      </c>
      <c r="H587" s="529">
        <f t="shared" si="95"/>
        <v>562570.1809107922</v>
      </c>
      <c r="I587" s="170">
        <f t="shared" si="96"/>
        <v>579399.14163090126</v>
      </c>
      <c r="J587" s="27">
        <f t="shared" si="97"/>
        <v>6525.5423347128553</v>
      </c>
      <c r="K587" s="306">
        <f t="shared" si="98"/>
        <v>1483261.8025751072</v>
      </c>
      <c r="L587" s="530">
        <f t="shared" si="99"/>
        <v>920691.621664315</v>
      </c>
      <c r="M587" s="306">
        <f t="shared" si="102"/>
        <v>12361819.50687954</v>
      </c>
      <c r="N587" s="343">
        <f>C587*Assumptions!$B$8</f>
        <v>0</v>
      </c>
      <c r="O587" s="306">
        <f t="shared" si="103"/>
        <v>8736371.2834572531</v>
      </c>
      <c r="P587" s="306"/>
      <c r="Q587" s="306"/>
    </row>
    <row r="588" spans="1:17" x14ac:dyDescent="0.25">
      <c r="A588">
        <f t="shared" ref="A588:B588" si="122">A587+1</f>
        <v>22</v>
      </c>
      <c r="B588" s="231">
        <f t="shared" si="122"/>
        <v>2039</v>
      </c>
      <c r="C588" s="19">
        <f>'Environmental Protection'!D59-'Environmental Protection'!D58</f>
        <v>0</v>
      </c>
      <c r="D588" s="20">
        <f t="shared" si="101"/>
        <v>75</v>
      </c>
      <c r="E588" s="156">
        <v>1</v>
      </c>
      <c r="F588" s="302">
        <f t="shared" si="93"/>
        <v>168434.1859014348</v>
      </c>
      <c r="G588" s="27">
        <f t="shared" si="94"/>
        <v>1619.7123102516111</v>
      </c>
      <c r="H588" s="529">
        <f t="shared" si="95"/>
        <v>562570.1809107922</v>
      </c>
      <c r="I588" s="170">
        <f t="shared" si="96"/>
        <v>579399.14163090126</v>
      </c>
      <c r="J588" s="27">
        <f t="shared" si="97"/>
        <v>6525.5423347128553</v>
      </c>
      <c r="K588" s="306">
        <f t="shared" si="98"/>
        <v>1483261.8025751072</v>
      </c>
      <c r="L588" s="530">
        <f t="shared" si="99"/>
        <v>920691.621664315</v>
      </c>
      <c r="M588" s="306">
        <f t="shared" si="102"/>
        <v>13282511.128543856</v>
      </c>
      <c r="N588" s="343">
        <f>C588*Assumptions!$B$8</f>
        <v>0</v>
      </c>
      <c r="O588" s="306">
        <f t="shared" si="103"/>
        <v>9657062.9051215686</v>
      </c>
      <c r="P588" s="306"/>
      <c r="Q588" s="306"/>
    </row>
    <row r="589" spans="1:17" x14ac:dyDescent="0.25">
      <c r="A589">
        <f t="shared" ref="A589:B589" si="123">A588+1</f>
        <v>23</v>
      </c>
      <c r="B589" s="231">
        <f t="shared" si="123"/>
        <v>2040</v>
      </c>
      <c r="C589" s="19">
        <f>'Environmental Protection'!D60-'Environmental Protection'!D59</f>
        <v>0</v>
      </c>
      <c r="D589" s="20">
        <f t="shared" si="101"/>
        <v>75</v>
      </c>
      <c r="E589" s="156">
        <v>1</v>
      </c>
      <c r="F589" s="302">
        <f t="shared" si="93"/>
        <v>168434.1859014348</v>
      </c>
      <c r="G589" s="27">
        <f t="shared" si="94"/>
        <v>1619.7123102516111</v>
      </c>
      <c r="H589" s="529">
        <f t="shared" si="95"/>
        <v>562570.1809107922</v>
      </c>
      <c r="I589" s="170">
        <f t="shared" si="96"/>
        <v>579399.14163090126</v>
      </c>
      <c r="J589" s="27">
        <f t="shared" si="97"/>
        <v>6525.5423347128553</v>
      </c>
      <c r="K589" s="306">
        <f t="shared" si="98"/>
        <v>1483261.8025751072</v>
      </c>
      <c r="L589" s="530">
        <f t="shared" si="99"/>
        <v>920691.621664315</v>
      </c>
      <c r="M589" s="306">
        <f t="shared" si="102"/>
        <v>14203202.750208171</v>
      </c>
      <c r="N589" s="343">
        <f>C589*Assumptions!$B$8</f>
        <v>0</v>
      </c>
      <c r="O589" s="306">
        <f t="shared" si="103"/>
        <v>10577754.526785884</v>
      </c>
      <c r="P589" s="306"/>
      <c r="Q589" s="306"/>
    </row>
    <row r="590" spans="1:17" x14ac:dyDescent="0.25">
      <c r="A590">
        <f t="shared" ref="A590:B590" si="124">A589+1</f>
        <v>24</v>
      </c>
      <c r="B590" s="231">
        <f t="shared" si="124"/>
        <v>2041</v>
      </c>
      <c r="C590" s="19">
        <f>'Environmental Protection'!D61-'Environmental Protection'!D60</f>
        <v>0</v>
      </c>
      <c r="D590" s="20">
        <f t="shared" si="101"/>
        <v>75</v>
      </c>
      <c r="E590" s="156">
        <v>1</v>
      </c>
      <c r="F590" s="302">
        <f t="shared" si="93"/>
        <v>168434.1859014348</v>
      </c>
      <c r="G590" s="27">
        <f t="shared" si="94"/>
        <v>1619.7123102516111</v>
      </c>
      <c r="H590" s="529">
        <f t="shared" si="95"/>
        <v>562570.1809107922</v>
      </c>
      <c r="I590" s="170">
        <f t="shared" si="96"/>
        <v>579399.14163090126</v>
      </c>
      <c r="J590" s="27">
        <f t="shared" si="97"/>
        <v>6525.5423347128553</v>
      </c>
      <c r="K590" s="306">
        <f t="shared" si="98"/>
        <v>1483261.8025751072</v>
      </c>
      <c r="L590" s="530">
        <f t="shared" si="99"/>
        <v>920691.621664315</v>
      </c>
      <c r="M590" s="306">
        <f t="shared" si="102"/>
        <v>15123894.371872487</v>
      </c>
      <c r="N590" s="343">
        <f>C590*Assumptions!$B$8</f>
        <v>0</v>
      </c>
      <c r="O590" s="306">
        <f t="shared" si="103"/>
        <v>11498446.1484502</v>
      </c>
      <c r="P590" s="306"/>
      <c r="Q590" s="306"/>
    </row>
    <row r="591" spans="1:17" x14ac:dyDescent="0.25">
      <c r="A591">
        <f t="shared" ref="A591:B591" si="125">A590+1</f>
        <v>25</v>
      </c>
      <c r="B591" s="231">
        <f t="shared" si="125"/>
        <v>2042</v>
      </c>
      <c r="C591" s="19">
        <f>'Environmental Protection'!D62-'Environmental Protection'!D61</f>
        <v>0</v>
      </c>
      <c r="D591" s="20">
        <f t="shared" si="101"/>
        <v>75</v>
      </c>
      <c r="E591" s="156">
        <v>1</v>
      </c>
      <c r="F591" s="302">
        <f t="shared" si="93"/>
        <v>168434.1859014348</v>
      </c>
      <c r="G591" s="27">
        <f t="shared" si="94"/>
        <v>1619.7123102516111</v>
      </c>
      <c r="H591" s="529">
        <f t="shared" si="95"/>
        <v>562570.1809107922</v>
      </c>
      <c r="I591" s="170">
        <f t="shared" si="96"/>
        <v>579399.14163090126</v>
      </c>
      <c r="J591" s="27">
        <f t="shared" si="97"/>
        <v>6525.5423347128553</v>
      </c>
      <c r="K591" s="306">
        <f t="shared" si="98"/>
        <v>1483261.8025751072</v>
      </c>
      <c r="L591" s="530">
        <f t="shared" si="99"/>
        <v>920691.621664315</v>
      </c>
      <c r="M591" s="306">
        <f t="shared" si="102"/>
        <v>16044585.993536802</v>
      </c>
      <c r="N591" s="343">
        <f>C591*Assumptions!$B$8</f>
        <v>0</v>
      </c>
      <c r="O591" s="306">
        <f t="shared" si="103"/>
        <v>12419137.770114515</v>
      </c>
      <c r="P591" s="306"/>
      <c r="Q591" s="306"/>
    </row>
    <row r="592" spans="1:17" x14ac:dyDescent="0.25">
      <c r="A592">
        <f t="shared" ref="A592:B592" si="126">A591+1</f>
        <v>26</v>
      </c>
      <c r="B592" s="231">
        <f t="shared" si="126"/>
        <v>2043</v>
      </c>
      <c r="C592" s="19">
        <f>'Environmental Protection'!D63-'Environmental Protection'!D62</f>
        <v>0</v>
      </c>
      <c r="D592" s="20">
        <f t="shared" si="101"/>
        <v>75</v>
      </c>
      <c r="E592" s="156">
        <v>1</v>
      </c>
      <c r="F592" s="302">
        <f t="shared" si="93"/>
        <v>168434.1859014348</v>
      </c>
      <c r="G592" s="27">
        <f t="shared" si="94"/>
        <v>1619.7123102516111</v>
      </c>
      <c r="H592" s="529">
        <f t="shared" si="95"/>
        <v>562570.1809107922</v>
      </c>
      <c r="I592" s="170">
        <f t="shared" si="96"/>
        <v>579399.14163090126</v>
      </c>
      <c r="J592" s="27">
        <f t="shared" si="97"/>
        <v>6525.5423347128553</v>
      </c>
      <c r="K592" s="306">
        <f t="shared" si="98"/>
        <v>1483261.8025751072</v>
      </c>
      <c r="L592" s="530">
        <f t="shared" si="99"/>
        <v>920691.621664315</v>
      </c>
      <c r="M592" s="306">
        <f t="shared" si="102"/>
        <v>16965277.615201116</v>
      </c>
      <c r="N592" s="343">
        <f>C592*Assumptions!$B$8</f>
        <v>0</v>
      </c>
      <c r="O592" s="306">
        <f t="shared" si="103"/>
        <v>13339829.39177883</v>
      </c>
      <c r="P592" s="306"/>
      <c r="Q592" s="306"/>
    </row>
    <row r="593" spans="1:17 16384:16384" x14ac:dyDescent="0.25">
      <c r="A593">
        <f t="shared" ref="A593:B593" si="127">A592+1</f>
        <v>27</v>
      </c>
      <c r="B593" s="231">
        <f t="shared" si="127"/>
        <v>2044</v>
      </c>
      <c r="C593" s="19">
        <f>'Environmental Protection'!D64-'Environmental Protection'!D63</f>
        <v>0</v>
      </c>
      <c r="D593" s="20">
        <f t="shared" si="101"/>
        <v>75</v>
      </c>
      <c r="E593" s="156">
        <v>1</v>
      </c>
      <c r="F593" s="302">
        <f t="shared" si="93"/>
        <v>168434.1859014348</v>
      </c>
      <c r="G593" s="27">
        <f t="shared" si="94"/>
        <v>1619.7123102516111</v>
      </c>
      <c r="H593" s="529">
        <f t="shared" si="95"/>
        <v>562570.1809107922</v>
      </c>
      <c r="I593" s="170">
        <f t="shared" si="96"/>
        <v>579399.14163090126</v>
      </c>
      <c r="J593" s="27">
        <f t="shared" si="97"/>
        <v>6525.5423347128553</v>
      </c>
      <c r="K593" s="306">
        <f t="shared" si="98"/>
        <v>1483261.8025751072</v>
      </c>
      <c r="L593" s="530">
        <f t="shared" si="99"/>
        <v>920691.621664315</v>
      </c>
      <c r="M593" s="306">
        <f t="shared" si="102"/>
        <v>17885969.236865431</v>
      </c>
      <c r="N593" s="343">
        <f>C593*Assumptions!$B$8</f>
        <v>0</v>
      </c>
      <c r="O593" s="306">
        <f t="shared" si="103"/>
        <v>14260521.013443146</v>
      </c>
      <c r="P593" s="306"/>
      <c r="Q593" s="306"/>
    </row>
    <row r="594" spans="1:17 16384:16384" x14ac:dyDescent="0.25">
      <c r="A594">
        <f t="shared" ref="A594:B594" si="128">A593+1</f>
        <v>28</v>
      </c>
      <c r="B594" s="231">
        <f t="shared" si="128"/>
        <v>2045</v>
      </c>
      <c r="C594" s="19">
        <f>'Environmental Protection'!D65-'Environmental Protection'!D64</f>
        <v>0</v>
      </c>
      <c r="D594" s="20">
        <f t="shared" si="101"/>
        <v>75</v>
      </c>
      <c r="E594" s="156">
        <v>1</v>
      </c>
      <c r="F594" s="302">
        <f t="shared" si="93"/>
        <v>168434.1859014348</v>
      </c>
      <c r="G594" s="27">
        <f t="shared" si="94"/>
        <v>1619.7123102516111</v>
      </c>
      <c r="H594" s="529">
        <f t="shared" si="95"/>
        <v>562570.1809107922</v>
      </c>
      <c r="I594" s="170">
        <f t="shared" si="96"/>
        <v>579399.14163090126</v>
      </c>
      <c r="J594" s="27">
        <f t="shared" si="97"/>
        <v>6525.5423347128553</v>
      </c>
      <c r="K594" s="306">
        <f t="shared" si="98"/>
        <v>1483261.8025751072</v>
      </c>
      <c r="L594" s="530">
        <f t="shared" si="99"/>
        <v>920691.621664315</v>
      </c>
      <c r="M594" s="306">
        <f t="shared" si="102"/>
        <v>18806660.858529747</v>
      </c>
      <c r="N594" s="343">
        <f>C594*Assumptions!$B$8</f>
        <v>0</v>
      </c>
      <c r="O594" s="306">
        <f t="shared" si="103"/>
        <v>15181212.635107461</v>
      </c>
      <c r="P594" s="306"/>
      <c r="Q594" s="306"/>
    </row>
    <row r="595" spans="1:17 16384:16384" x14ac:dyDescent="0.25">
      <c r="A595">
        <f t="shared" ref="A595:B595" si="129">A594+1</f>
        <v>29</v>
      </c>
      <c r="B595" s="231">
        <f t="shared" si="129"/>
        <v>2046</v>
      </c>
      <c r="C595" s="19">
        <f>'Environmental Protection'!D66-'Environmental Protection'!D65</f>
        <v>0</v>
      </c>
      <c r="D595" s="20">
        <f t="shared" si="101"/>
        <v>75</v>
      </c>
      <c r="E595" s="156">
        <v>1</v>
      </c>
      <c r="F595" s="302">
        <f t="shared" si="93"/>
        <v>168434.1859014348</v>
      </c>
      <c r="G595" s="27">
        <f t="shared" si="94"/>
        <v>1619.7123102516111</v>
      </c>
      <c r="H595" s="529">
        <f t="shared" si="95"/>
        <v>562570.1809107922</v>
      </c>
      <c r="I595" s="170">
        <f t="shared" si="96"/>
        <v>579399.14163090126</v>
      </c>
      <c r="J595" s="27">
        <f t="shared" si="97"/>
        <v>6525.5423347128553</v>
      </c>
      <c r="K595" s="306">
        <f t="shared" si="98"/>
        <v>1483261.8025751072</v>
      </c>
      <c r="L595" s="530">
        <f t="shared" si="99"/>
        <v>920691.621664315</v>
      </c>
      <c r="M595" s="306">
        <f t="shared" si="102"/>
        <v>19727352.480194062</v>
      </c>
      <c r="N595" s="343">
        <f>C595*Assumptions!$B$8</f>
        <v>0</v>
      </c>
      <c r="O595" s="306">
        <f t="shared" si="103"/>
        <v>16101904.256771777</v>
      </c>
      <c r="P595" s="306"/>
      <c r="Q595" s="306"/>
    </row>
    <row r="596" spans="1:17 16384:16384" x14ac:dyDescent="0.25">
      <c r="A596">
        <f t="shared" ref="A596:B596" si="130">A595+1</f>
        <v>30</v>
      </c>
      <c r="B596" s="231">
        <f t="shared" si="130"/>
        <v>2047</v>
      </c>
      <c r="C596" s="19">
        <f>'Environmental Protection'!D67-'Environmental Protection'!D66</f>
        <v>0</v>
      </c>
      <c r="D596" s="20">
        <f t="shared" si="101"/>
        <v>75</v>
      </c>
      <c r="E596" s="156">
        <v>1</v>
      </c>
      <c r="F596" s="302">
        <f t="shared" si="93"/>
        <v>168434.1859014348</v>
      </c>
      <c r="G596" s="27">
        <f t="shared" si="94"/>
        <v>1619.7123102516111</v>
      </c>
      <c r="H596" s="529">
        <f t="shared" si="95"/>
        <v>562570.1809107922</v>
      </c>
      <c r="I596" s="170">
        <f t="shared" si="96"/>
        <v>579399.14163090126</v>
      </c>
      <c r="J596" s="27">
        <f t="shared" si="97"/>
        <v>6525.5423347128553</v>
      </c>
      <c r="K596" s="306">
        <f t="shared" si="98"/>
        <v>1483261.8025751072</v>
      </c>
      <c r="L596" s="530">
        <f t="shared" si="99"/>
        <v>920691.621664315</v>
      </c>
      <c r="M596" s="306">
        <f t="shared" si="102"/>
        <v>20648044.101858377</v>
      </c>
      <c r="N596" s="343">
        <f>C596*Assumptions!$B$8</f>
        <v>0</v>
      </c>
      <c r="O596" s="306">
        <f t="shared" si="103"/>
        <v>17022595.878436092</v>
      </c>
      <c r="P596" s="306"/>
      <c r="Q596" s="306"/>
    </row>
    <row r="597" spans="1:17 16384:16384" x14ac:dyDescent="0.25">
      <c r="A597">
        <f t="shared" ref="A597:B597" si="131">A596+1</f>
        <v>31</v>
      </c>
      <c r="B597" s="231">
        <f t="shared" si="131"/>
        <v>2048</v>
      </c>
      <c r="C597" s="19">
        <f>'Environmental Protection'!D68-'Environmental Protection'!D67</f>
        <v>0</v>
      </c>
      <c r="D597" s="20">
        <f t="shared" si="101"/>
        <v>75</v>
      </c>
      <c r="E597" s="156">
        <v>1</v>
      </c>
      <c r="F597" s="302">
        <f t="shared" si="93"/>
        <v>168434.1859014348</v>
      </c>
      <c r="G597" s="27">
        <f t="shared" si="94"/>
        <v>1619.7123102516111</v>
      </c>
      <c r="H597" s="529">
        <f t="shared" si="95"/>
        <v>562570.1809107922</v>
      </c>
      <c r="I597" s="170">
        <f t="shared" si="96"/>
        <v>579399.14163090126</v>
      </c>
      <c r="J597" s="27">
        <f t="shared" si="97"/>
        <v>6525.5423347128553</v>
      </c>
      <c r="K597" s="306">
        <f t="shared" si="98"/>
        <v>1483261.8025751072</v>
      </c>
      <c r="L597" s="530">
        <f t="shared" si="99"/>
        <v>920691.621664315</v>
      </c>
      <c r="M597" s="306">
        <f t="shared" si="102"/>
        <v>21568735.723522693</v>
      </c>
      <c r="N597" s="343">
        <f>C597*Assumptions!$B$8</f>
        <v>0</v>
      </c>
      <c r="O597" s="306">
        <f t="shared" si="103"/>
        <v>17943287.500100408</v>
      </c>
      <c r="P597" s="306"/>
      <c r="Q597" s="306"/>
    </row>
    <row r="598" spans="1:17 16384:16384" x14ac:dyDescent="0.25">
      <c r="A598">
        <f t="shared" ref="A598:B598" si="132">A597+1</f>
        <v>32</v>
      </c>
      <c r="B598" s="231">
        <f t="shared" si="132"/>
        <v>2049</v>
      </c>
      <c r="C598" s="19">
        <f>'Environmental Protection'!D69-'Environmental Protection'!D68</f>
        <v>0</v>
      </c>
      <c r="D598" s="20">
        <f t="shared" si="101"/>
        <v>75</v>
      </c>
      <c r="E598" s="156">
        <v>1</v>
      </c>
      <c r="F598" s="302">
        <f t="shared" si="93"/>
        <v>168434.1859014348</v>
      </c>
      <c r="G598" s="27">
        <f t="shared" si="94"/>
        <v>1619.7123102516111</v>
      </c>
      <c r="H598" s="529">
        <f t="shared" si="95"/>
        <v>562570.1809107922</v>
      </c>
      <c r="I598" s="170">
        <f t="shared" si="96"/>
        <v>579399.14163090126</v>
      </c>
      <c r="J598" s="27">
        <f t="shared" si="97"/>
        <v>6525.5423347128553</v>
      </c>
      <c r="K598" s="306">
        <f t="shared" si="98"/>
        <v>1483261.8025751072</v>
      </c>
      <c r="L598" s="530">
        <f t="shared" si="99"/>
        <v>920691.621664315</v>
      </c>
      <c r="M598" s="306">
        <f t="shared" si="102"/>
        <v>22489427.345187008</v>
      </c>
      <c r="N598" s="343">
        <f>C598*Assumptions!$B$8</f>
        <v>0</v>
      </c>
      <c r="O598" s="306">
        <f t="shared" si="103"/>
        <v>18863979.121764723</v>
      </c>
      <c r="P598" s="306"/>
      <c r="Q598" s="306"/>
    </row>
    <row r="599" spans="1:17 16384:16384" x14ac:dyDescent="0.25">
      <c r="A599">
        <f t="shared" ref="A599:B599" si="133">A598+1</f>
        <v>33</v>
      </c>
      <c r="B599" s="231">
        <f t="shared" si="133"/>
        <v>2050</v>
      </c>
      <c r="C599" s="19">
        <f>'Environmental Protection'!D70-'Environmental Protection'!D69</f>
        <v>0</v>
      </c>
      <c r="D599" s="20">
        <f t="shared" si="101"/>
        <v>75</v>
      </c>
      <c r="E599" s="156">
        <v>1</v>
      </c>
      <c r="F599" s="302">
        <f t="shared" si="93"/>
        <v>168434.1859014348</v>
      </c>
      <c r="G599" s="27">
        <f t="shared" si="94"/>
        <v>1619.7123102516111</v>
      </c>
      <c r="H599" s="529">
        <f t="shared" si="95"/>
        <v>562570.1809107922</v>
      </c>
      <c r="I599" s="170">
        <f t="shared" si="96"/>
        <v>579399.14163090126</v>
      </c>
      <c r="J599" s="27">
        <f t="shared" si="97"/>
        <v>6525.5423347128553</v>
      </c>
      <c r="K599" s="306">
        <f t="shared" si="98"/>
        <v>1483261.8025751072</v>
      </c>
      <c r="L599" s="530">
        <f t="shared" si="99"/>
        <v>920691.621664315</v>
      </c>
      <c r="M599" s="306">
        <f t="shared" si="102"/>
        <v>23410118.966851324</v>
      </c>
      <c r="N599" s="343">
        <f>C599*Assumptions!$B$8</f>
        <v>0</v>
      </c>
      <c r="O599" s="306">
        <f t="shared" si="103"/>
        <v>19784670.743429039</v>
      </c>
      <c r="P599" s="306"/>
      <c r="Q599" s="306"/>
    </row>
    <row r="600" spans="1:17 16384:16384" x14ac:dyDescent="0.25">
      <c r="A600">
        <f t="shared" ref="A600:B600" si="134">A599+1</f>
        <v>34</v>
      </c>
      <c r="B600" s="231">
        <f t="shared" si="134"/>
        <v>2051</v>
      </c>
      <c r="C600" s="19">
        <f>'Environmental Protection'!D71-'Environmental Protection'!D70</f>
        <v>0</v>
      </c>
      <c r="D600" s="20">
        <f t="shared" si="101"/>
        <v>75</v>
      </c>
      <c r="E600" s="156">
        <v>1</v>
      </c>
      <c r="F600" s="302">
        <f t="shared" si="93"/>
        <v>168434.1859014348</v>
      </c>
      <c r="G600" s="27">
        <f t="shared" si="94"/>
        <v>1619.7123102516111</v>
      </c>
      <c r="H600" s="529">
        <f t="shared" si="95"/>
        <v>562570.1809107922</v>
      </c>
      <c r="I600" s="170">
        <f t="shared" si="96"/>
        <v>579399.14163090126</v>
      </c>
      <c r="J600" s="27">
        <f t="shared" si="97"/>
        <v>6525.5423347128553</v>
      </c>
      <c r="K600" s="306">
        <f t="shared" si="98"/>
        <v>1483261.8025751072</v>
      </c>
      <c r="L600" s="530">
        <f t="shared" si="99"/>
        <v>920691.621664315</v>
      </c>
      <c r="M600" s="306">
        <f t="shared" si="102"/>
        <v>24330810.588515639</v>
      </c>
      <c r="N600" s="343">
        <f>C600*Assumptions!$B$8</f>
        <v>0</v>
      </c>
      <c r="O600" s="306">
        <f t="shared" si="103"/>
        <v>20705362.365093354</v>
      </c>
      <c r="P600" s="306"/>
      <c r="Q600" s="306"/>
    </row>
    <row r="601" spans="1:17 16384:16384" x14ac:dyDescent="0.25">
      <c r="A601">
        <f t="shared" ref="A601:B601" si="135">A600+1</f>
        <v>35</v>
      </c>
      <c r="B601" s="231">
        <f t="shared" si="135"/>
        <v>2052</v>
      </c>
      <c r="C601" s="19">
        <f>'Environmental Protection'!D72-'Environmental Protection'!D71</f>
        <v>0</v>
      </c>
      <c r="D601" s="20">
        <f t="shared" si="101"/>
        <v>75</v>
      </c>
      <c r="E601" s="156">
        <v>1</v>
      </c>
      <c r="F601" s="302">
        <f t="shared" si="93"/>
        <v>168434.1859014348</v>
      </c>
      <c r="G601" s="27">
        <f t="shared" si="94"/>
        <v>1619.7123102516111</v>
      </c>
      <c r="H601" s="529">
        <f t="shared" si="95"/>
        <v>562570.1809107922</v>
      </c>
      <c r="I601" s="170">
        <f t="shared" si="96"/>
        <v>579399.14163090126</v>
      </c>
      <c r="J601" s="27">
        <f t="shared" si="97"/>
        <v>6525.5423347128553</v>
      </c>
      <c r="K601" s="306">
        <f t="shared" si="98"/>
        <v>1483261.8025751072</v>
      </c>
      <c r="L601" s="530">
        <f t="shared" si="99"/>
        <v>920691.621664315</v>
      </c>
      <c r="M601" s="306">
        <f t="shared" si="102"/>
        <v>25251502.210179955</v>
      </c>
      <c r="N601" s="343">
        <f>C601*Assumptions!$B$8</f>
        <v>0</v>
      </c>
      <c r="O601" s="306">
        <f t="shared" si="103"/>
        <v>21626053.98675767</v>
      </c>
      <c r="P601" s="306"/>
      <c r="Q601" s="306"/>
    </row>
    <row r="602" spans="1:17 16384:16384" x14ac:dyDescent="0.25">
      <c r="A602">
        <f t="shared" ref="A602:B602" si="136">A601+1</f>
        <v>36</v>
      </c>
      <c r="B602" s="231">
        <f t="shared" si="136"/>
        <v>2053</v>
      </c>
      <c r="C602" s="19">
        <f>'Environmental Protection'!D73-'Environmental Protection'!D72</f>
        <v>0</v>
      </c>
      <c r="D602" s="20">
        <f t="shared" si="101"/>
        <v>75</v>
      </c>
      <c r="E602" s="156">
        <v>1</v>
      </c>
      <c r="F602" s="302">
        <f t="shared" si="93"/>
        <v>168434.1859014348</v>
      </c>
      <c r="G602" s="27">
        <f t="shared" si="94"/>
        <v>1619.7123102516111</v>
      </c>
      <c r="H602" s="529">
        <f t="shared" si="95"/>
        <v>562570.1809107922</v>
      </c>
      <c r="I602" s="170">
        <f t="shared" si="96"/>
        <v>579399.14163090126</v>
      </c>
      <c r="J602" s="27">
        <f t="shared" si="97"/>
        <v>6525.5423347128553</v>
      </c>
      <c r="K602" s="306">
        <f t="shared" si="98"/>
        <v>1483261.8025751072</v>
      </c>
      <c r="L602" s="530">
        <f t="shared" si="99"/>
        <v>920691.621664315</v>
      </c>
      <c r="M602" s="306">
        <f t="shared" si="102"/>
        <v>26172193.83184427</v>
      </c>
      <c r="N602" s="343">
        <f>C602*Assumptions!$B$8</f>
        <v>0</v>
      </c>
      <c r="O602" s="306">
        <f t="shared" si="103"/>
        <v>22546745.608421985</v>
      </c>
      <c r="P602" s="306"/>
      <c r="Q602" s="306"/>
    </row>
    <row r="603" spans="1:17 16384:16384" x14ac:dyDescent="0.25">
      <c r="A603" s="68">
        <f t="shared" ref="A603:B603" si="137">A602+1</f>
        <v>37</v>
      </c>
      <c r="B603" s="231">
        <f t="shared" si="137"/>
        <v>2054</v>
      </c>
      <c r="C603" s="19">
        <f>'Environmental Protection'!D74-'Environmental Protection'!D73</f>
        <v>0</v>
      </c>
      <c r="D603" s="20">
        <f t="shared" si="101"/>
        <v>75</v>
      </c>
      <c r="E603" s="156">
        <v>1</v>
      </c>
      <c r="F603" s="302">
        <f t="shared" si="93"/>
        <v>168434.1859014348</v>
      </c>
      <c r="G603" s="27">
        <f t="shared" si="94"/>
        <v>1619.7123102516111</v>
      </c>
      <c r="H603" s="529">
        <f t="shared" si="95"/>
        <v>562570.1809107922</v>
      </c>
      <c r="I603" s="170">
        <f t="shared" si="96"/>
        <v>579399.14163090126</v>
      </c>
      <c r="J603" s="27">
        <f t="shared" si="97"/>
        <v>6525.5423347128553</v>
      </c>
      <c r="K603" s="306">
        <f t="shared" si="98"/>
        <v>1483261.8025751072</v>
      </c>
      <c r="L603" s="530">
        <f t="shared" si="99"/>
        <v>920691.621664315</v>
      </c>
      <c r="M603" s="306">
        <f t="shared" si="102"/>
        <v>27092885.453508586</v>
      </c>
      <c r="N603" s="343">
        <f>C603*Assumptions!$B$8</f>
        <v>0</v>
      </c>
      <c r="O603" s="306">
        <f t="shared" si="103"/>
        <v>23467437.230086301</v>
      </c>
      <c r="P603" s="306"/>
      <c r="Q603" s="306"/>
    </row>
    <row r="604" spans="1:17 16384:16384" x14ac:dyDescent="0.25">
      <c r="A604" s="68">
        <f t="shared" ref="A604:B604" si="138">A603+1</f>
        <v>38</v>
      </c>
      <c r="B604" s="231">
        <f t="shared" si="138"/>
        <v>2055</v>
      </c>
      <c r="C604" s="19">
        <f>'Environmental Protection'!D75-'Environmental Protection'!D74</f>
        <v>0</v>
      </c>
      <c r="D604" s="20">
        <f t="shared" si="101"/>
        <v>75</v>
      </c>
      <c r="E604" s="156">
        <v>1</v>
      </c>
      <c r="F604" s="302">
        <f t="shared" si="93"/>
        <v>168434.1859014348</v>
      </c>
      <c r="G604" s="27">
        <f t="shared" si="94"/>
        <v>1619.7123102516111</v>
      </c>
      <c r="H604" s="529">
        <f t="shared" si="95"/>
        <v>562570.1809107922</v>
      </c>
      <c r="I604" s="170">
        <f t="shared" si="96"/>
        <v>579399.14163090126</v>
      </c>
      <c r="J604" s="27">
        <f t="shared" si="97"/>
        <v>6525.5423347128553</v>
      </c>
      <c r="K604" s="306">
        <f t="shared" si="98"/>
        <v>1483261.8025751072</v>
      </c>
      <c r="L604" s="530">
        <f t="shared" si="99"/>
        <v>920691.621664315</v>
      </c>
      <c r="M604" s="306">
        <f t="shared" si="102"/>
        <v>28013577.075172901</v>
      </c>
      <c r="N604" s="343">
        <f>C604*Assumptions!$B$8</f>
        <v>0</v>
      </c>
      <c r="O604" s="306">
        <f t="shared" si="103"/>
        <v>24388128.851750616</v>
      </c>
      <c r="P604" s="306"/>
      <c r="Q604" s="306"/>
    </row>
    <row r="605" spans="1:17 16384:16384" x14ac:dyDescent="0.25">
      <c r="A605" s="68">
        <f t="shared" ref="A605:B605" si="139">A604+1</f>
        <v>39</v>
      </c>
      <c r="B605" s="231">
        <f t="shared" si="139"/>
        <v>2056</v>
      </c>
      <c r="C605" s="19">
        <f>'Environmental Protection'!D76-'Environmental Protection'!D75</f>
        <v>0</v>
      </c>
      <c r="D605" s="20">
        <f t="shared" si="101"/>
        <v>75</v>
      </c>
      <c r="E605" s="156">
        <v>1</v>
      </c>
      <c r="F605" s="302">
        <f t="shared" si="93"/>
        <v>168434.1859014348</v>
      </c>
      <c r="G605" s="27">
        <f t="shared" si="94"/>
        <v>1619.7123102516111</v>
      </c>
      <c r="H605" s="529">
        <f t="shared" si="95"/>
        <v>562570.1809107922</v>
      </c>
      <c r="I605" s="170">
        <f t="shared" si="96"/>
        <v>579399.14163090126</v>
      </c>
      <c r="J605" s="27">
        <f t="shared" si="97"/>
        <v>6525.5423347128553</v>
      </c>
      <c r="K605" s="306">
        <f t="shared" si="98"/>
        <v>1483261.8025751072</v>
      </c>
      <c r="L605" s="530">
        <f t="shared" si="99"/>
        <v>920691.621664315</v>
      </c>
      <c r="M605" s="306">
        <f t="shared" si="102"/>
        <v>28934268.696837217</v>
      </c>
      <c r="N605" s="343">
        <f>C605*Assumptions!$B$8</f>
        <v>0</v>
      </c>
      <c r="O605" s="306">
        <f t="shared" si="103"/>
        <v>25308820.473414931</v>
      </c>
      <c r="P605" s="306"/>
      <c r="Q605" s="306"/>
    </row>
    <row r="606" spans="1:17 16384:16384" x14ac:dyDescent="0.25">
      <c r="A606" s="3">
        <f t="shared" ref="A606:B606" si="140">A605+1</f>
        <v>40</v>
      </c>
      <c r="B606" s="270">
        <f t="shared" si="140"/>
        <v>2057</v>
      </c>
      <c r="C606" s="543"/>
      <c r="D606" s="59">
        <f t="shared" si="101"/>
        <v>75</v>
      </c>
      <c r="E606" s="60">
        <v>1</v>
      </c>
      <c r="F606" s="568">
        <f t="shared" si="93"/>
        <v>168434.1859014348</v>
      </c>
      <c r="G606" s="55">
        <f t="shared" si="94"/>
        <v>1619.7123102516111</v>
      </c>
      <c r="H606" s="566">
        <f t="shared" si="95"/>
        <v>562570.1809107922</v>
      </c>
      <c r="I606" s="352">
        <f t="shared" si="96"/>
        <v>579399.14163090126</v>
      </c>
      <c r="J606" s="55">
        <f t="shared" si="97"/>
        <v>6525.5423347128553</v>
      </c>
      <c r="K606" s="350">
        <f t="shared" si="98"/>
        <v>1483261.8025751072</v>
      </c>
      <c r="L606" s="298">
        <f t="shared" si="99"/>
        <v>920691.621664315</v>
      </c>
      <c r="M606" s="350">
        <f t="shared" si="102"/>
        <v>29854960.318501532</v>
      </c>
      <c r="N606" s="567">
        <f>C606*Assumptions!$B$8</f>
        <v>0</v>
      </c>
      <c r="O606" s="350">
        <f t="shared" si="103"/>
        <v>26229512.095079247</v>
      </c>
      <c r="P606" s="306"/>
      <c r="Q606" s="306"/>
    </row>
    <row r="607" spans="1:17 16384:16384" x14ac:dyDescent="0.25">
      <c r="C607" s="19"/>
      <c r="D607" s="20"/>
      <c r="F607" s="302">
        <f t="shared" ref="F607:O607" si="141">SUM(F567:F606)</f>
        <v>5466250.7797878981</v>
      </c>
      <c r="G607" s="84">
        <f t="shared" si="141"/>
        <v>52565.063508698979</v>
      </c>
      <c r="H607" s="529">
        <f t="shared" si="141"/>
        <v>18257277.604491577</v>
      </c>
      <c r="I607" s="355">
        <f t="shared" si="141"/>
        <v>18803433.476394851</v>
      </c>
      <c r="J607" s="84">
        <f t="shared" si="141"/>
        <v>211775.60056921464</v>
      </c>
      <c r="K607" s="529">
        <f t="shared" si="141"/>
        <v>48136789.69957079</v>
      </c>
      <c r="L607" s="529">
        <f t="shared" si="141"/>
        <v>29879512.095079247</v>
      </c>
      <c r="M607" s="529">
        <f t="shared" si="141"/>
        <v>502979970.8593598</v>
      </c>
      <c r="N607" s="529">
        <f t="shared" si="141"/>
        <v>3650000</v>
      </c>
      <c r="O607" s="529">
        <f t="shared" si="141"/>
        <v>386262041.92246848</v>
      </c>
      <c r="P607" s="306"/>
      <c r="Q607" s="306"/>
      <c r="XFD607" s="529"/>
    </row>
    <row r="608" spans="1:17 16384:16384" x14ac:dyDescent="0.25">
      <c r="C608" s="19"/>
      <c r="D608" s="20"/>
      <c r="K608" s="306"/>
      <c r="L608" s="296"/>
      <c r="M608" s="306"/>
      <c r="N608" s="343"/>
      <c r="O608" s="306"/>
      <c r="P608" s="306"/>
      <c r="Q608" s="306"/>
    </row>
    <row r="609" spans="1:17 16384:16384" x14ac:dyDescent="0.25">
      <c r="C609" s="19"/>
      <c r="D609" s="20"/>
      <c r="K609" s="306"/>
      <c r="L609" s="296"/>
      <c r="M609" s="306"/>
      <c r="N609" s="343"/>
      <c r="O609" s="306"/>
      <c r="P609" s="306"/>
      <c r="Q609" s="306"/>
    </row>
    <row r="610" spans="1:17 16384:16384" x14ac:dyDescent="0.25">
      <c r="K610" s="306"/>
      <c r="L610" s="296"/>
      <c r="M610" s="306"/>
      <c r="N610" s="343"/>
      <c r="O610" s="306"/>
      <c r="P610" s="306"/>
      <c r="Q610" s="306"/>
    </row>
    <row r="611" spans="1:17 16384:16384" x14ac:dyDescent="0.25">
      <c r="A611" s="1" t="s">
        <v>443</v>
      </c>
      <c r="B611" s="46" t="s">
        <v>444</v>
      </c>
      <c r="C611" s="46" t="s">
        <v>7</v>
      </c>
      <c r="D611" s="46" t="s">
        <v>445</v>
      </c>
      <c r="K611" s="306"/>
      <c r="L611" s="296"/>
      <c r="M611" s="306"/>
      <c r="N611" s="343"/>
      <c r="O611" s="306"/>
      <c r="P611" s="306"/>
      <c r="Q611" s="306"/>
    </row>
    <row r="612" spans="1:17 16384:16384" x14ac:dyDescent="0.25">
      <c r="B612" s="170">
        <v>36000</v>
      </c>
      <c r="C612" s="170">
        <v>36000</v>
      </c>
      <c r="D612" s="170">
        <v>36000</v>
      </c>
      <c r="K612" s="306"/>
      <c r="L612" s="296"/>
      <c r="M612" s="306"/>
      <c r="N612" s="343"/>
      <c r="O612" s="306"/>
      <c r="P612" s="306"/>
      <c r="Q612" s="306"/>
    </row>
    <row r="613" spans="1:17 16384:16384" x14ac:dyDescent="0.25">
      <c r="A613" t="s">
        <v>446</v>
      </c>
      <c r="B613">
        <v>4.66</v>
      </c>
      <c r="C613">
        <v>4.34</v>
      </c>
      <c r="D613">
        <v>16.03</v>
      </c>
      <c r="K613" s="306"/>
      <c r="L613" s="296"/>
      <c r="M613" s="306"/>
      <c r="N613" s="343"/>
      <c r="O613" s="306"/>
      <c r="P613" s="306"/>
      <c r="Q613" s="306"/>
    </row>
    <row r="614" spans="1:17 16384:16384" x14ac:dyDescent="0.25">
      <c r="A614" s="477" t="s">
        <v>447</v>
      </c>
      <c r="B614" s="581">
        <v>1</v>
      </c>
      <c r="C614" s="581">
        <v>1</v>
      </c>
      <c r="D614" s="581">
        <v>0.3</v>
      </c>
      <c r="E614" s="112"/>
      <c r="K614" s="306"/>
      <c r="L614" s="296"/>
      <c r="M614" s="306"/>
      <c r="N614" s="343"/>
      <c r="O614" s="306"/>
      <c r="P614" s="306"/>
      <c r="Q614" s="306"/>
    </row>
    <row r="615" spans="1:17 16384:16384" x14ac:dyDescent="0.25">
      <c r="A615" s="582" t="s">
        <v>448</v>
      </c>
      <c r="B615" s="583">
        <f>B614*B612</f>
        <v>36000</v>
      </c>
      <c r="C615" s="583">
        <f>C614*C612</f>
        <v>36000</v>
      </c>
      <c r="D615" s="583">
        <f>D614*D612</f>
        <v>10800</v>
      </c>
      <c r="E615" s="112"/>
      <c r="K615" s="306"/>
      <c r="L615" s="296"/>
      <c r="M615" s="306"/>
      <c r="N615" s="343"/>
      <c r="O615" s="306"/>
      <c r="P615" s="306"/>
      <c r="Q615" s="306"/>
    </row>
    <row r="616" spans="1:17 16384:16384" x14ac:dyDescent="0.25">
      <c r="C616" s="19"/>
      <c r="D616" s="20"/>
      <c r="K616" s="306"/>
      <c r="L616" s="296"/>
      <c r="M616" s="306"/>
      <c r="N616" s="343"/>
      <c r="O616" s="306"/>
      <c r="P616" s="306"/>
      <c r="Q616" s="306"/>
    </row>
    <row r="617" spans="1:17 16384:16384" x14ac:dyDescent="0.25">
      <c r="A617" t="s">
        <v>324</v>
      </c>
      <c r="B617" s="360">
        <f>E48</f>
        <v>2.5703258497288287E-2</v>
      </c>
      <c r="C617" s="19"/>
      <c r="D617" s="20"/>
      <c r="K617" s="306"/>
      <c r="L617" s="296"/>
      <c r="M617" s="306"/>
      <c r="N617" s="343"/>
      <c r="O617" s="306"/>
      <c r="P617" s="306"/>
      <c r="Q617" s="306"/>
    </row>
    <row r="618" spans="1:17 16384:16384" x14ac:dyDescent="0.25">
      <c r="C618" s="19"/>
      <c r="D618" s="20"/>
      <c r="E618" s="1" t="s">
        <v>452</v>
      </c>
      <c r="I618" s="1" t="s">
        <v>453</v>
      </c>
      <c r="K618" s="306"/>
      <c r="L618" s="296"/>
      <c r="M618" s="306"/>
      <c r="N618" s="343"/>
      <c r="O618" s="306"/>
      <c r="P618" s="306"/>
      <c r="Q618" s="306"/>
    </row>
    <row r="619" spans="1:17 16384:16384" ht="45" x14ac:dyDescent="0.25">
      <c r="A619" t="s">
        <v>0</v>
      </c>
      <c r="B619" s="536" t="s">
        <v>450</v>
      </c>
      <c r="C619" s="1" t="s">
        <v>283</v>
      </c>
      <c r="D619" s="1" t="s">
        <v>284</v>
      </c>
      <c r="E619" s="1" t="s">
        <v>451</v>
      </c>
      <c r="F619" s="1" t="s">
        <v>33</v>
      </c>
      <c r="G619" s="272" t="s">
        <v>31</v>
      </c>
      <c r="H619" s="534" t="s">
        <v>425</v>
      </c>
      <c r="I619" s="272" t="s">
        <v>471</v>
      </c>
      <c r="J619" s="534" t="s">
        <v>472</v>
      </c>
      <c r="L619" s="306"/>
      <c r="M619" s="296"/>
      <c r="N619" s="343"/>
      <c r="O619" s="306"/>
      <c r="P619" s="306"/>
      <c r="Q619" s="306"/>
    </row>
    <row r="620" spans="1:17 16384:16384" x14ac:dyDescent="0.25">
      <c r="A620">
        <v>1</v>
      </c>
      <c r="B620">
        <v>2018</v>
      </c>
      <c r="C620" s="580">
        <f>D620+E620</f>
        <v>49</v>
      </c>
      <c r="D620" s="302">
        <f>C38</f>
        <v>47</v>
      </c>
      <c r="E620" s="20">
        <f t="shared" ref="E620:E659" si="142">D567</f>
        <v>2</v>
      </c>
      <c r="F620" s="306">
        <f>C620*B615</f>
        <v>1764000</v>
      </c>
      <c r="G620" s="306">
        <f>D620*C615</f>
        <v>1692000</v>
      </c>
      <c r="H620" s="306">
        <f>E620*D615</f>
        <v>21600</v>
      </c>
      <c r="I620" s="306">
        <f>(D620*$B$615)-(D620*$C$615)</f>
        <v>0</v>
      </c>
      <c r="J620" s="306">
        <f>(E620*$B$615)-(E620*$D$615)</f>
        <v>50400</v>
      </c>
      <c r="K620" s="306"/>
      <c r="L620" s="306"/>
      <c r="M620" s="296"/>
      <c r="N620" s="343"/>
      <c r="O620" s="306"/>
      <c r="P620" s="306"/>
      <c r="Q620" s="306"/>
      <c r="XFD620" s="306">
        <f>XFA620*XEZ615</f>
        <v>0</v>
      </c>
    </row>
    <row r="621" spans="1:17 16384:16384" x14ac:dyDescent="0.25">
      <c r="A621">
        <f>A620+1</f>
        <v>2</v>
      </c>
      <c r="B621">
        <f>B620+1</f>
        <v>2019</v>
      </c>
      <c r="C621" s="580">
        <f t="shared" ref="C621:C659" si="143">D621+E621</f>
        <v>49</v>
      </c>
      <c r="D621" s="544">
        <f>'Environmental Protection'!C93</f>
        <v>47</v>
      </c>
      <c r="E621" s="20">
        <f t="shared" si="142"/>
        <v>2</v>
      </c>
      <c r="F621" s="306">
        <f>C621*(($B$615*(1+$B$617)^A620))</f>
        <v>1809340.5479892164</v>
      </c>
      <c r="G621" s="306">
        <f>D621*(($C$615*(1+$B$617)^A620))</f>
        <v>1735489.9133774117</v>
      </c>
      <c r="H621" s="306">
        <f>E621*(($D$615*(1+$B$617)^A620))</f>
        <v>22155.190383541427</v>
      </c>
      <c r="I621" s="306">
        <f>((D621*$B$615)-(D621*$C$615))*((1+$B$617)^A620)</f>
        <v>0</v>
      </c>
      <c r="J621" s="306">
        <f>((E621*$B$615)-(E621*$D$615))*((1+$B$617)^A620)</f>
        <v>51695.444228263332</v>
      </c>
      <c r="K621" s="306"/>
      <c r="L621" s="306"/>
      <c r="M621" s="296"/>
      <c r="N621" s="343"/>
      <c r="O621" s="306"/>
      <c r="P621" s="306"/>
      <c r="Q621" s="306"/>
    </row>
    <row r="622" spans="1:17 16384:16384" x14ac:dyDescent="0.25">
      <c r="A622">
        <f t="shared" ref="A622:A659" si="144">A621+1</f>
        <v>3</v>
      </c>
      <c r="B622">
        <f t="shared" ref="B622:B659" si="145">B621+1</f>
        <v>2020</v>
      </c>
      <c r="C622" s="580">
        <f t="shared" si="143"/>
        <v>52</v>
      </c>
      <c r="D622" s="544">
        <f>'Environmental Protection'!C94</f>
        <v>47</v>
      </c>
      <c r="E622" s="20">
        <f t="shared" si="142"/>
        <v>5</v>
      </c>
      <c r="F622" s="306">
        <f t="shared" ref="F622:F659" si="146">C622*(($B$615*(1+$B$617)^A621))</f>
        <v>1969469.7506489397</v>
      </c>
      <c r="G622" s="306">
        <f t="shared" ref="G622:G659" si="147">D622*(($C$615*(1+$B$617)^A621))</f>
        <v>1780097.6592403878</v>
      </c>
      <c r="H622" s="306">
        <f t="shared" ref="H622:H659" si="148">E622*(($D$615*(1+$B$617)^A621))</f>
        <v>56811.627422565572</v>
      </c>
      <c r="I622" s="306">
        <f t="shared" ref="I622:I659" si="149">((D622*$B$615)-(D622*$C$615))*((1+$B$617)^A621)</f>
        <v>0</v>
      </c>
      <c r="J622" s="306">
        <f t="shared" ref="J622:J659" si="150">((E622*$B$615)-(E622*$D$615))*((1+$B$617)^A621)</f>
        <v>132560.46398598634</v>
      </c>
      <c r="K622" s="306"/>
      <c r="L622" s="306"/>
      <c r="M622" s="296"/>
      <c r="N622" s="343"/>
      <c r="O622" s="306"/>
      <c r="P622" s="306"/>
      <c r="Q622" s="306"/>
    </row>
    <row r="623" spans="1:17 16384:16384" x14ac:dyDescent="0.25">
      <c r="A623">
        <f t="shared" si="144"/>
        <v>4</v>
      </c>
      <c r="B623">
        <f t="shared" si="145"/>
        <v>2021</v>
      </c>
      <c r="C623" s="580">
        <f t="shared" si="143"/>
        <v>60</v>
      </c>
      <c r="D623" s="544">
        <f>'Environmental Protection'!C95</f>
        <v>50</v>
      </c>
      <c r="E623" s="20">
        <f t="shared" si="142"/>
        <v>10</v>
      </c>
      <c r="F623" s="306">
        <f t="shared" si="146"/>
        <v>2330874.8547143764</v>
      </c>
      <c r="G623" s="306">
        <f t="shared" si="147"/>
        <v>1942395.7122619802</v>
      </c>
      <c r="H623" s="306">
        <f t="shared" si="148"/>
        <v>116543.74273571881</v>
      </c>
      <c r="I623" s="306">
        <f t="shared" si="149"/>
        <v>0</v>
      </c>
      <c r="J623" s="306">
        <f t="shared" si="150"/>
        <v>271935.3997166772</v>
      </c>
      <c r="K623" s="306"/>
      <c r="L623" s="306"/>
      <c r="M623" s="296"/>
      <c r="N623" s="343"/>
      <c r="O623" s="306"/>
      <c r="P623" s="306"/>
      <c r="Q623" s="306"/>
    </row>
    <row r="624" spans="1:17 16384:16384" x14ac:dyDescent="0.25">
      <c r="A624">
        <f t="shared" si="144"/>
        <v>5</v>
      </c>
      <c r="B624">
        <f t="shared" si="145"/>
        <v>2022</v>
      </c>
      <c r="C624" s="580">
        <f t="shared" si="143"/>
        <v>75</v>
      </c>
      <c r="D624" s="544">
        <f>'Environmental Protection'!C96</f>
        <v>60</v>
      </c>
      <c r="E624" s="20">
        <f t="shared" si="142"/>
        <v>15</v>
      </c>
      <c r="F624" s="306">
        <f t="shared" si="146"/>
        <v>2988482.4170374111</v>
      </c>
      <c r="G624" s="306">
        <f t="shared" si="147"/>
        <v>2390785.9336299291</v>
      </c>
      <c r="H624" s="306">
        <f t="shared" si="148"/>
        <v>179308.94502224468</v>
      </c>
      <c r="I624" s="306">
        <f t="shared" si="149"/>
        <v>0</v>
      </c>
      <c r="J624" s="306">
        <f t="shared" si="150"/>
        <v>418387.53838523757</v>
      </c>
      <c r="K624" s="306"/>
      <c r="L624" s="306"/>
      <c r="M624" s="296"/>
      <c r="N624" s="343"/>
      <c r="O624" s="306"/>
      <c r="P624" s="306"/>
      <c r="Q624" s="306"/>
    </row>
    <row r="625" spans="1:17" x14ac:dyDescent="0.25">
      <c r="A625">
        <f t="shared" si="144"/>
        <v>6</v>
      </c>
      <c r="B625">
        <f t="shared" si="145"/>
        <v>2023</v>
      </c>
      <c r="C625" s="580">
        <f t="shared" si="143"/>
        <v>85</v>
      </c>
      <c r="D625" s="544">
        <f>'Environmental Protection'!C97</f>
        <v>65</v>
      </c>
      <c r="E625" s="20">
        <f t="shared" si="142"/>
        <v>20</v>
      </c>
      <c r="F625" s="306">
        <f t="shared" si="146"/>
        <v>3474002.3068660744</v>
      </c>
      <c r="G625" s="306">
        <f t="shared" si="147"/>
        <v>2656589.9993681745</v>
      </c>
      <c r="H625" s="306">
        <f t="shared" si="148"/>
        <v>245223.69224936995</v>
      </c>
      <c r="I625" s="306">
        <f t="shared" si="149"/>
        <v>0</v>
      </c>
      <c r="J625" s="306">
        <f t="shared" si="150"/>
        <v>572188.61524852994</v>
      </c>
      <c r="K625" s="306"/>
      <c r="L625" s="306"/>
      <c r="M625" s="296"/>
      <c r="N625" s="343"/>
      <c r="O625" s="306"/>
      <c r="P625" s="306"/>
      <c r="Q625" s="306"/>
    </row>
    <row r="626" spans="1:17" x14ac:dyDescent="0.25">
      <c r="A626">
        <f t="shared" si="144"/>
        <v>7</v>
      </c>
      <c r="B626">
        <f t="shared" si="145"/>
        <v>2024</v>
      </c>
      <c r="C626" s="580">
        <f t="shared" si="143"/>
        <v>100</v>
      </c>
      <c r="D626" s="544">
        <f>'Environmental Protection'!C98</f>
        <v>75</v>
      </c>
      <c r="E626" s="20">
        <f t="shared" si="142"/>
        <v>25</v>
      </c>
      <c r="F626" s="306">
        <f t="shared" si="146"/>
        <v>4192112.3366819164</v>
      </c>
      <c r="G626" s="306">
        <f t="shared" si="147"/>
        <v>3144084.2525114371</v>
      </c>
      <c r="H626" s="306">
        <f t="shared" si="148"/>
        <v>314408.42525114369</v>
      </c>
      <c r="I626" s="306">
        <f t="shared" si="149"/>
        <v>0</v>
      </c>
      <c r="J626" s="306">
        <f t="shared" si="150"/>
        <v>733619.65891933534</v>
      </c>
      <c r="K626" s="306"/>
      <c r="L626" s="306"/>
      <c r="M626" s="296"/>
      <c r="N626" s="343"/>
      <c r="O626" s="306"/>
      <c r="P626" s="306"/>
      <c r="Q626" s="306"/>
    </row>
    <row r="627" spans="1:17" x14ac:dyDescent="0.25">
      <c r="A627">
        <f t="shared" si="144"/>
        <v>8</v>
      </c>
      <c r="B627">
        <f t="shared" si="145"/>
        <v>2025</v>
      </c>
      <c r="C627" s="580">
        <f t="shared" si="143"/>
        <v>105</v>
      </c>
      <c r="D627" s="544">
        <f>'Environmental Protection'!C99</f>
        <v>75</v>
      </c>
      <c r="E627" s="20">
        <f t="shared" si="142"/>
        <v>30</v>
      </c>
      <c r="F627" s="306">
        <f t="shared" si="146"/>
        <v>4514856.4479073891</v>
      </c>
      <c r="G627" s="306">
        <f t="shared" si="147"/>
        <v>3224897.4627909926</v>
      </c>
      <c r="H627" s="306">
        <f t="shared" si="148"/>
        <v>386987.6955349191</v>
      </c>
      <c r="I627" s="306">
        <f t="shared" si="149"/>
        <v>0</v>
      </c>
      <c r="J627" s="306">
        <f t="shared" si="150"/>
        <v>902971.28958147787</v>
      </c>
      <c r="K627" s="306"/>
      <c r="L627" s="306"/>
      <c r="M627" s="296"/>
      <c r="N627" s="343"/>
      <c r="O627" s="306"/>
      <c r="P627" s="306"/>
      <c r="Q627" s="306"/>
    </row>
    <row r="628" spans="1:17" x14ac:dyDescent="0.25">
      <c r="A628">
        <f t="shared" si="144"/>
        <v>9</v>
      </c>
      <c r="B628">
        <f t="shared" si="145"/>
        <v>2026</v>
      </c>
      <c r="C628" s="580">
        <f t="shared" si="143"/>
        <v>115</v>
      </c>
      <c r="D628" s="544">
        <f>'Environmental Protection'!C100</f>
        <v>75</v>
      </c>
      <c r="E628" s="20">
        <f t="shared" si="142"/>
        <v>40</v>
      </c>
      <c r="F628" s="306">
        <f t="shared" si="146"/>
        <v>5071941.3483866826</v>
      </c>
      <c r="G628" s="306">
        <f t="shared" si="147"/>
        <v>3307787.8359043584</v>
      </c>
      <c r="H628" s="306">
        <f t="shared" si="148"/>
        <v>529246.05374469736</v>
      </c>
      <c r="I628" s="306">
        <f t="shared" si="149"/>
        <v>0</v>
      </c>
      <c r="J628" s="306">
        <f t="shared" si="150"/>
        <v>1234907.4587376271</v>
      </c>
      <c r="K628" s="306"/>
      <c r="L628" s="306"/>
      <c r="M628" s="296"/>
      <c r="N628" s="343"/>
      <c r="O628" s="306"/>
      <c r="P628" s="306"/>
      <c r="Q628" s="306"/>
    </row>
    <row r="629" spans="1:17" x14ac:dyDescent="0.25">
      <c r="A629">
        <f t="shared" si="144"/>
        <v>10</v>
      </c>
      <c r="B629">
        <f t="shared" si="145"/>
        <v>2027</v>
      </c>
      <c r="C629" s="580">
        <f t="shared" si="143"/>
        <v>125</v>
      </c>
      <c r="D629" s="544">
        <f>'Environmental Protection'!C101</f>
        <v>75</v>
      </c>
      <c r="E629" s="20">
        <f t="shared" si="142"/>
        <v>50</v>
      </c>
      <c r="F629" s="306">
        <f t="shared" si="146"/>
        <v>5654681.2695079912</v>
      </c>
      <c r="G629" s="306">
        <f t="shared" si="147"/>
        <v>3392808.7617047946</v>
      </c>
      <c r="H629" s="306">
        <f t="shared" si="148"/>
        <v>678561.7523409588</v>
      </c>
      <c r="I629" s="306">
        <f t="shared" si="149"/>
        <v>0</v>
      </c>
      <c r="J629" s="306">
        <f t="shared" si="150"/>
        <v>1583310.7554622374</v>
      </c>
      <c r="K629" s="306"/>
      <c r="L629" s="306"/>
      <c r="M629" s="296"/>
      <c r="N629" s="343"/>
      <c r="O629" s="306"/>
      <c r="P629" s="306"/>
      <c r="Q629" s="306"/>
    </row>
    <row r="630" spans="1:17" x14ac:dyDescent="0.25">
      <c r="A630">
        <f t="shared" si="144"/>
        <v>11</v>
      </c>
      <c r="B630">
        <f t="shared" si="145"/>
        <v>2028</v>
      </c>
      <c r="C630" s="580">
        <f t="shared" si="143"/>
        <v>135</v>
      </c>
      <c r="D630" s="544">
        <f>'Environmental Protection'!C102</f>
        <v>75</v>
      </c>
      <c r="E630" s="20">
        <f t="shared" si="142"/>
        <v>60</v>
      </c>
      <c r="F630" s="306">
        <f t="shared" si="146"/>
        <v>6264027.0042097615</v>
      </c>
      <c r="G630" s="306">
        <f t="shared" si="147"/>
        <v>3480015.0023387563</v>
      </c>
      <c r="H630" s="306">
        <f t="shared" si="148"/>
        <v>835203.60056130157</v>
      </c>
      <c r="I630" s="306">
        <f t="shared" si="149"/>
        <v>0</v>
      </c>
      <c r="J630" s="306">
        <f t="shared" si="150"/>
        <v>1948808.4013097037</v>
      </c>
      <c r="K630" s="306"/>
      <c r="L630" s="306"/>
      <c r="M630" s="296"/>
      <c r="N630" s="343"/>
      <c r="O630" s="306"/>
      <c r="P630" s="306"/>
      <c r="Q630" s="306"/>
    </row>
    <row r="631" spans="1:17" x14ac:dyDescent="0.25">
      <c r="A631">
        <f t="shared" si="144"/>
        <v>12</v>
      </c>
      <c r="B631">
        <f t="shared" si="145"/>
        <v>2029</v>
      </c>
      <c r="C631" s="580">
        <f t="shared" si="143"/>
        <v>150</v>
      </c>
      <c r="D631" s="544">
        <f>'Environmental Protection'!C103</f>
        <v>75</v>
      </c>
      <c r="E631" s="20">
        <f t="shared" si="142"/>
        <v>75</v>
      </c>
      <c r="F631" s="306">
        <f t="shared" si="146"/>
        <v>7138925.4550366225</v>
      </c>
      <c r="G631" s="306">
        <f t="shared" si="147"/>
        <v>3569462.7275183112</v>
      </c>
      <c r="H631" s="306">
        <f t="shared" si="148"/>
        <v>1070838.8182554934</v>
      </c>
      <c r="I631" s="306">
        <f t="shared" si="149"/>
        <v>0</v>
      </c>
      <c r="J631" s="306">
        <f t="shared" si="150"/>
        <v>2498623.9092628178</v>
      </c>
      <c r="K631" s="306"/>
      <c r="L631" s="306"/>
      <c r="M631" s="296"/>
      <c r="N631" s="343"/>
      <c r="O631" s="306"/>
      <c r="P631" s="306"/>
      <c r="Q631" s="306"/>
    </row>
    <row r="632" spans="1:17" x14ac:dyDescent="0.25">
      <c r="A632">
        <f t="shared" si="144"/>
        <v>13</v>
      </c>
      <c r="B632">
        <f t="shared" si="145"/>
        <v>2030</v>
      </c>
      <c r="C632" s="580">
        <f t="shared" si="143"/>
        <v>150</v>
      </c>
      <c r="D632" s="544">
        <f>'Environmental Protection'!C104</f>
        <v>75</v>
      </c>
      <c r="E632" s="20">
        <f t="shared" si="142"/>
        <v>75</v>
      </c>
      <c r="F632" s="306">
        <f t="shared" si="146"/>
        <v>7322419.1014002999</v>
      </c>
      <c r="G632" s="306">
        <f t="shared" si="147"/>
        <v>3661209.55070015</v>
      </c>
      <c r="H632" s="306">
        <f t="shared" si="148"/>
        <v>1098362.8652100449</v>
      </c>
      <c r="I632" s="306">
        <f t="shared" si="149"/>
        <v>0</v>
      </c>
      <c r="J632" s="306">
        <f t="shared" si="150"/>
        <v>2562846.6854901053</v>
      </c>
      <c r="K632" s="306"/>
      <c r="L632" s="306"/>
      <c r="M632" s="296"/>
      <c r="N632" s="343"/>
      <c r="O632" s="306"/>
      <c r="P632" s="306"/>
      <c r="Q632" s="306"/>
    </row>
    <row r="633" spans="1:17" x14ac:dyDescent="0.25">
      <c r="A633">
        <f t="shared" si="144"/>
        <v>14</v>
      </c>
      <c r="B633">
        <f t="shared" si="145"/>
        <v>2031</v>
      </c>
      <c r="C633" s="580">
        <f t="shared" si="143"/>
        <v>150</v>
      </c>
      <c r="D633" s="544">
        <f>'Environmental Protection'!C105</f>
        <v>75</v>
      </c>
      <c r="E633" s="20">
        <f t="shared" si="142"/>
        <v>75</v>
      </c>
      <c r="F633" s="306">
        <f t="shared" si="146"/>
        <v>7510629.1323890733</v>
      </c>
      <c r="G633" s="306">
        <f t="shared" si="147"/>
        <v>3755314.5661945366</v>
      </c>
      <c r="H633" s="306">
        <f t="shared" si="148"/>
        <v>1126594.3698583608</v>
      </c>
      <c r="I633" s="306">
        <f t="shared" si="149"/>
        <v>0</v>
      </c>
      <c r="J633" s="306">
        <f t="shared" si="150"/>
        <v>2628720.1963361758</v>
      </c>
      <c r="K633" s="306"/>
      <c r="L633" s="306"/>
      <c r="M633" s="296"/>
      <c r="N633" s="343"/>
      <c r="O633" s="306"/>
      <c r="P633" s="306"/>
      <c r="Q633" s="306"/>
    </row>
    <row r="634" spans="1:17" x14ac:dyDescent="0.25">
      <c r="A634">
        <f t="shared" si="144"/>
        <v>15</v>
      </c>
      <c r="B634">
        <f t="shared" si="145"/>
        <v>2032</v>
      </c>
      <c r="C634" s="580">
        <f t="shared" si="143"/>
        <v>150</v>
      </c>
      <c r="D634" s="544">
        <f>'Environmental Protection'!C106</f>
        <v>75</v>
      </c>
      <c r="E634" s="20">
        <f t="shared" si="142"/>
        <v>75</v>
      </c>
      <c r="F634" s="306">
        <f t="shared" si="146"/>
        <v>7703676.7744561331</v>
      </c>
      <c r="G634" s="306">
        <f t="shared" si="147"/>
        <v>3851838.3872280666</v>
      </c>
      <c r="H634" s="306">
        <f t="shared" si="148"/>
        <v>1155551.51616842</v>
      </c>
      <c r="I634" s="306">
        <f t="shared" si="149"/>
        <v>0</v>
      </c>
      <c r="J634" s="306">
        <f t="shared" si="150"/>
        <v>2696286.8710596468</v>
      </c>
      <c r="K634" s="306"/>
      <c r="L634" s="306"/>
      <c r="M634" s="296"/>
      <c r="N634" s="343"/>
      <c r="O634" s="306"/>
      <c r="P634" s="306"/>
      <c r="Q634" s="306"/>
    </row>
    <row r="635" spans="1:17" x14ac:dyDescent="0.25">
      <c r="A635">
        <f t="shared" si="144"/>
        <v>16</v>
      </c>
      <c r="B635">
        <f t="shared" si="145"/>
        <v>2033</v>
      </c>
      <c r="C635" s="580">
        <f t="shared" si="143"/>
        <v>150</v>
      </c>
      <c r="D635" s="544">
        <f>'Environmental Protection'!C107</f>
        <v>75</v>
      </c>
      <c r="E635" s="20">
        <f t="shared" si="142"/>
        <v>75</v>
      </c>
      <c r="F635" s="306">
        <f t="shared" si="146"/>
        <v>7901686.3699695366</v>
      </c>
      <c r="G635" s="306">
        <f t="shared" si="147"/>
        <v>3950843.1849847683</v>
      </c>
      <c r="H635" s="306">
        <f t="shared" si="148"/>
        <v>1185252.9554954304</v>
      </c>
      <c r="I635" s="306">
        <f t="shared" si="149"/>
        <v>0</v>
      </c>
      <c r="J635" s="306">
        <f t="shared" si="150"/>
        <v>2765590.2294893377</v>
      </c>
      <c r="K635" s="306"/>
      <c r="L635" s="306"/>
      <c r="M635" s="296"/>
      <c r="N635" s="343"/>
      <c r="O635" s="306"/>
      <c r="P635" s="306"/>
      <c r="Q635" s="306"/>
    </row>
    <row r="636" spans="1:17" x14ac:dyDescent="0.25">
      <c r="A636">
        <f t="shared" si="144"/>
        <v>17</v>
      </c>
      <c r="B636">
        <f t="shared" si="145"/>
        <v>2034</v>
      </c>
      <c r="C636" s="580">
        <f t="shared" si="143"/>
        <v>150</v>
      </c>
      <c r="D636" s="544">
        <f>'Environmental Protection'!C108</f>
        <v>75</v>
      </c>
      <c r="E636" s="20">
        <f t="shared" si="142"/>
        <v>75</v>
      </c>
      <c r="F636" s="306">
        <f t="shared" si="146"/>
        <v>8104785.4573013624</v>
      </c>
      <c r="G636" s="306">
        <f t="shared" si="147"/>
        <v>4052392.7286506812</v>
      </c>
      <c r="H636" s="306">
        <f t="shared" si="148"/>
        <v>1215717.8185952043</v>
      </c>
      <c r="I636" s="306">
        <f t="shared" si="149"/>
        <v>0</v>
      </c>
      <c r="J636" s="306">
        <f t="shared" si="150"/>
        <v>2836674.9100554767</v>
      </c>
      <c r="K636" s="306"/>
      <c r="L636" s="306"/>
      <c r="M636" s="296"/>
      <c r="N636" s="343"/>
      <c r="O636" s="306"/>
      <c r="P636" s="306"/>
      <c r="Q636" s="306"/>
    </row>
    <row r="637" spans="1:17" x14ac:dyDescent="0.25">
      <c r="A637">
        <f t="shared" si="144"/>
        <v>18</v>
      </c>
      <c r="B637">
        <f t="shared" si="145"/>
        <v>2035</v>
      </c>
      <c r="C637" s="580">
        <f t="shared" si="143"/>
        <v>150</v>
      </c>
      <c r="D637" s="544">
        <f>'Environmental Protection'!C109</f>
        <v>75</v>
      </c>
      <c r="E637" s="20">
        <f t="shared" si="142"/>
        <v>75</v>
      </c>
      <c r="F637" s="306">
        <f t="shared" si="146"/>
        <v>8313104.8529754411</v>
      </c>
      <c r="G637" s="306">
        <f t="shared" si="147"/>
        <v>4156552.4264877206</v>
      </c>
      <c r="H637" s="306">
        <f t="shared" si="148"/>
        <v>1246965.7279463161</v>
      </c>
      <c r="I637" s="306">
        <f t="shared" si="149"/>
        <v>0</v>
      </c>
      <c r="J637" s="306">
        <f t="shared" si="150"/>
        <v>2909586.6985414047</v>
      </c>
      <c r="K637" s="306"/>
      <c r="L637" s="306"/>
      <c r="M637" s="296"/>
      <c r="N637" s="343"/>
      <c r="O637" s="306"/>
      <c r="P637" s="306"/>
      <c r="Q637" s="306"/>
    </row>
    <row r="638" spans="1:17" x14ac:dyDescent="0.25">
      <c r="A638">
        <f t="shared" si="144"/>
        <v>19</v>
      </c>
      <c r="B638">
        <f t="shared" si="145"/>
        <v>2036</v>
      </c>
      <c r="C638" s="580">
        <f t="shared" si="143"/>
        <v>150</v>
      </c>
      <c r="D638" s="544">
        <f>'Environmental Protection'!C110</f>
        <v>75</v>
      </c>
      <c r="E638" s="20">
        <f t="shared" si="142"/>
        <v>75</v>
      </c>
      <c r="F638" s="306">
        <f t="shared" si="146"/>
        <v>8526778.7359265294</v>
      </c>
      <c r="G638" s="306">
        <f t="shared" si="147"/>
        <v>4263389.3679632647</v>
      </c>
      <c r="H638" s="306">
        <f t="shared" si="148"/>
        <v>1279016.8103889797</v>
      </c>
      <c r="I638" s="306">
        <f t="shared" si="149"/>
        <v>0</v>
      </c>
      <c r="J638" s="306">
        <f t="shared" si="150"/>
        <v>2984372.5575742857</v>
      </c>
      <c r="K638" s="306"/>
      <c r="L638" s="306"/>
      <c r="M638" s="296"/>
      <c r="N638" s="343"/>
      <c r="O638" s="306"/>
      <c r="P638" s="306"/>
      <c r="Q638" s="306"/>
    </row>
    <row r="639" spans="1:17" x14ac:dyDescent="0.25">
      <c r="A639">
        <f t="shared" si="144"/>
        <v>20</v>
      </c>
      <c r="B639">
        <f t="shared" si="145"/>
        <v>2037</v>
      </c>
      <c r="C639" s="580">
        <f t="shared" si="143"/>
        <v>150</v>
      </c>
      <c r="D639" s="544">
        <f>'Environmental Protection'!C111</f>
        <v>75</v>
      </c>
      <c r="E639" s="20">
        <f t="shared" si="142"/>
        <v>75</v>
      </c>
      <c r="F639" s="306">
        <f t="shared" si="146"/>
        <v>8745944.7339252327</v>
      </c>
      <c r="G639" s="306">
        <f t="shared" si="147"/>
        <v>4372972.3669626163</v>
      </c>
      <c r="H639" s="306">
        <f t="shared" si="148"/>
        <v>1311891.710088785</v>
      </c>
      <c r="I639" s="306">
        <f t="shared" si="149"/>
        <v>0</v>
      </c>
      <c r="J639" s="306">
        <f t="shared" si="150"/>
        <v>3061080.6568738315</v>
      </c>
      <c r="K639" s="306"/>
      <c r="L639" s="306"/>
      <c r="M639" s="296"/>
      <c r="N639" s="343"/>
      <c r="O639" s="306"/>
      <c r="P639" s="306"/>
      <c r="Q639" s="306"/>
    </row>
    <row r="640" spans="1:17" x14ac:dyDescent="0.25">
      <c r="A640">
        <f t="shared" si="144"/>
        <v>21</v>
      </c>
      <c r="B640">
        <f t="shared" si="145"/>
        <v>2038</v>
      </c>
      <c r="C640" s="580">
        <f t="shared" si="143"/>
        <v>150</v>
      </c>
      <c r="D640" s="544">
        <f>'Environmental Protection'!C112</f>
        <v>75</v>
      </c>
      <c r="E640" s="20">
        <f t="shared" si="142"/>
        <v>75</v>
      </c>
      <c r="F640" s="306">
        <f t="shared" si="146"/>
        <v>8970744.0122243091</v>
      </c>
      <c r="G640" s="306">
        <f t="shared" si="147"/>
        <v>4485372.0061121546</v>
      </c>
      <c r="H640" s="306">
        <f t="shared" si="148"/>
        <v>1345611.6018336462</v>
      </c>
      <c r="I640" s="306">
        <f t="shared" si="149"/>
        <v>0</v>
      </c>
      <c r="J640" s="306">
        <f t="shared" si="150"/>
        <v>3139760.4042785079</v>
      </c>
      <c r="K640" s="306"/>
      <c r="L640" s="306"/>
      <c r="M640" s="296"/>
      <c r="N640" s="343"/>
      <c r="O640" s="306"/>
      <c r="P640" s="306"/>
      <c r="Q640" s="306"/>
    </row>
    <row r="641" spans="1:17" x14ac:dyDescent="0.25">
      <c r="A641">
        <f t="shared" si="144"/>
        <v>22</v>
      </c>
      <c r="B641">
        <f t="shared" si="145"/>
        <v>2039</v>
      </c>
      <c r="C641" s="580">
        <f t="shared" si="143"/>
        <v>150</v>
      </c>
      <c r="D641" s="544">
        <f>'Environmental Protection'!C113</f>
        <v>75</v>
      </c>
      <c r="E641" s="20">
        <f t="shared" si="142"/>
        <v>75</v>
      </c>
      <c r="F641" s="306">
        <f t="shared" si="146"/>
        <v>9201321.3644835111</v>
      </c>
      <c r="G641" s="306">
        <f t="shared" si="147"/>
        <v>4600660.6822417555</v>
      </c>
      <c r="H641" s="306">
        <f t="shared" si="148"/>
        <v>1380198.2046725266</v>
      </c>
      <c r="I641" s="306">
        <f t="shared" si="149"/>
        <v>0</v>
      </c>
      <c r="J641" s="306">
        <f t="shared" si="150"/>
        <v>3220462.477569229</v>
      </c>
      <c r="K641" s="306"/>
      <c r="L641" s="306"/>
      <c r="M641" s="296"/>
      <c r="N641" s="343"/>
      <c r="O641" s="306"/>
      <c r="P641" s="306"/>
      <c r="Q641" s="306"/>
    </row>
    <row r="642" spans="1:17" x14ac:dyDescent="0.25">
      <c r="A642">
        <f t="shared" si="144"/>
        <v>23</v>
      </c>
      <c r="B642">
        <f t="shared" si="145"/>
        <v>2040</v>
      </c>
      <c r="C642" s="580">
        <f t="shared" si="143"/>
        <v>150</v>
      </c>
      <c r="D642" s="544">
        <f>'Environmental Protection'!C114</f>
        <v>75</v>
      </c>
      <c r="E642" s="20">
        <f t="shared" si="142"/>
        <v>75</v>
      </c>
      <c r="F642" s="306">
        <f t="shared" si="146"/>
        <v>9437825.3060314525</v>
      </c>
      <c r="G642" s="306">
        <f t="shared" si="147"/>
        <v>4718912.6530157262</v>
      </c>
      <c r="H642" s="306">
        <f t="shared" si="148"/>
        <v>1415673.7959047176</v>
      </c>
      <c r="I642" s="306">
        <f t="shared" si="149"/>
        <v>0</v>
      </c>
      <c r="J642" s="306">
        <f t="shared" si="150"/>
        <v>3303238.8571110079</v>
      </c>
      <c r="K642" s="306"/>
      <c r="L642" s="306"/>
      <c r="M642" s="296"/>
      <c r="N642" s="343"/>
      <c r="O642" s="306"/>
      <c r="P642" s="306"/>
      <c r="Q642" s="306"/>
    </row>
    <row r="643" spans="1:17" x14ac:dyDescent="0.25">
      <c r="A643">
        <f t="shared" si="144"/>
        <v>24</v>
      </c>
      <c r="B643">
        <f t="shared" si="145"/>
        <v>2041</v>
      </c>
      <c r="C643" s="580">
        <f t="shared" si="143"/>
        <v>150</v>
      </c>
      <c r="D643" s="544">
        <f>'Environmental Protection'!C115</f>
        <v>75</v>
      </c>
      <c r="E643" s="20">
        <f t="shared" si="142"/>
        <v>75</v>
      </c>
      <c r="F643" s="306">
        <f t="shared" si="146"/>
        <v>9680408.1695246268</v>
      </c>
      <c r="G643" s="306">
        <f t="shared" si="147"/>
        <v>4840204.0847623134</v>
      </c>
      <c r="H643" s="306">
        <f t="shared" si="148"/>
        <v>1452061.2254286942</v>
      </c>
      <c r="I643" s="306">
        <f t="shared" si="149"/>
        <v>0</v>
      </c>
      <c r="J643" s="306">
        <f t="shared" si="150"/>
        <v>3388142.8593336199</v>
      </c>
      <c r="K643" s="306"/>
      <c r="L643" s="306"/>
      <c r="M643" s="296"/>
      <c r="N643" s="343"/>
      <c r="O643" s="306"/>
      <c r="P643" s="306"/>
      <c r="Q643" s="306"/>
    </row>
    <row r="644" spans="1:17" x14ac:dyDescent="0.25">
      <c r="A644">
        <f t="shared" si="144"/>
        <v>25</v>
      </c>
      <c r="B644">
        <f t="shared" si="145"/>
        <v>2042</v>
      </c>
      <c r="C644" s="580">
        <f t="shared" si="143"/>
        <v>150</v>
      </c>
      <c r="D644" s="544">
        <f>'Environmental Protection'!C116</f>
        <v>75</v>
      </c>
      <c r="E644" s="20">
        <f t="shared" si="142"/>
        <v>75</v>
      </c>
      <c r="F644" s="306">
        <f t="shared" si="146"/>
        <v>9929226.2030651812</v>
      </c>
      <c r="G644" s="306">
        <f t="shared" si="147"/>
        <v>4964613.1015325906</v>
      </c>
      <c r="H644" s="306">
        <f t="shared" si="148"/>
        <v>1489383.9304597769</v>
      </c>
      <c r="I644" s="306">
        <f t="shared" si="149"/>
        <v>0</v>
      </c>
      <c r="J644" s="306">
        <f t="shared" si="150"/>
        <v>3475229.1710728132</v>
      </c>
      <c r="K644" s="306"/>
      <c r="L644" s="306"/>
      <c r="M644" s="296"/>
      <c r="N644" s="343"/>
      <c r="O644" s="306"/>
      <c r="P644" s="306"/>
      <c r="Q644" s="306"/>
    </row>
    <row r="645" spans="1:17" x14ac:dyDescent="0.25">
      <c r="A645">
        <f t="shared" si="144"/>
        <v>26</v>
      </c>
      <c r="B645">
        <f t="shared" si="145"/>
        <v>2043</v>
      </c>
      <c r="C645" s="580">
        <f t="shared" si="143"/>
        <v>150</v>
      </c>
      <c r="D645" s="544">
        <f>'Environmental Protection'!C117</f>
        <v>75</v>
      </c>
      <c r="E645" s="20">
        <f t="shared" si="142"/>
        <v>75</v>
      </c>
      <c r="F645" s="306">
        <f t="shared" si="146"/>
        <v>10184439.670840614</v>
      </c>
      <c r="G645" s="306">
        <f t="shared" si="147"/>
        <v>5092219.8354203068</v>
      </c>
      <c r="H645" s="306">
        <f t="shared" si="148"/>
        <v>1527665.9506260923</v>
      </c>
      <c r="I645" s="306">
        <f t="shared" si="149"/>
        <v>0</v>
      </c>
      <c r="J645" s="306">
        <f t="shared" si="150"/>
        <v>3564553.8847942147</v>
      </c>
      <c r="K645" s="306"/>
      <c r="L645" s="306"/>
      <c r="M645" s="296"/>
      <c r="N645" s="343"/>
      <c r="O645" s="306"/>
      <c r="P645" s="306"/>
      <c r="Q645" s="306"/>
    </row>
    <row r="646" spans="1:17" x14ac:dyDescent="0.25">
      <c r="A646">
        <f t="shared" si="144"/>
        <v>27</v>
      </c>
      <c r="B646">
        <f t="shared" si="145"/>
        <v>2044</v>
      </c>
      <c r="C646" s="580">
        <f t="shared" si="143"/>
        <v>150</v>
      </c>
      <c r="D646" s="544">
        <f>'Environmental Protection'!C118</f>
        <v>75</v>
      </c>
      <c r="E646" s="20">
        <f t="shared" si="142"/>
        <v>75</v>
      </c>
      <c r="F646" s="306">
        <f t="shared" si="146"/>
        <v>10446212.956350265</v>
      </c>
      <c r="G646" s="306">
        <f t="shared" si="147"/>
        <v>5223106.4781751325</v>
      </c>
      <c r="H646" s="306">
        <f t="shared" si="148"/>
        <v>1566931.9434525399</v>
      </c>
      <c r="I646" s="306">
        <f t="shared" si="149"/>
        <v>0</v>
      </c>
      <c r="J646" s="306">
        <f t="shared" si="150"/>
        <v>3656174.5347225931</v>
      </c>
      <c r="K646" s="306"/>
      <c r="L646" s="306"/>
      <c r="M646" s="296"/>
      <c r="N646" s="343"/>
      <c r="O646" s="306"/>
      <c r="P646" s="306"/>
      <c r="Q646" s="306"/>
    </row>
    <row r="647" spans="1:17" x14ac:dyDescent="0.25">
      <c r="A647">
        <f t="shared" si="144"/>
        <v>28</v>
      </c>
      <c r="B647">
        <f t="shared" si="145"/>
        <v>2045</v>
      </c>
      <c r="C647" s="580">
        <f t="shared" si="143"/>
        <v>150</v>
      </c>
      <c r="D647" s="544">
        <f>'Environmental Protection'!C119</f>
        <v>75</v>
      </c>
      <c r="E647" s="20">
        <f t="shared" si="142"/>
        <v>75</v>
      </c>
      <c r="F647" s="306">
        <f t="shared" si="146"/>
        <v>10714714.668285061</v>
      </c>
      <c r="G647" s="306">
        <f t="shared" si="147"/>
        <v>5357357.3341425303</v>
      </c>
      <c r="H647" s="306">
        <f t="shared" si="148"/>
        <v>1607207.200242759</v>
      </c>
      <c r="I647" s="306">
        <f t="shared" si="149"/>
        <v>0</v>
      </c>
      <c r="J647" s="306">
        <f t="shared" si="150"/>
        <v>3750150.1338997711</v>
      </c>
      <c r="K647" s="306"/>
      <c r="L647" s="306"/>
      <c r="M647" s="296"/>
      <c r="N647" s="343"/>
      <c r="O647" s="306"/>
      <c r="P647" s="306"/>
      <c r="Q647" s="306"/>
    </row>
    <row r="648" spans="1:17" x14ac:dyDescent="0.25">
      <c r="A648">
        <f t="shared" si="144"/>
        <v>29</v>
      </c>
      <c r="B648">
        <f t="shared" si="145"/>
        <v>2046</v>
      </c>
      <c r="C648" s="580">
        <f t="shared" si="143"/>
        <v>150</v>
      </c>
      <c r="D648" s="544">
        <f>'Environmental Protection'!C120</f>
        <v>75</v>
      </c>
      <c r="E648" s="20">
        <f t="shared" si="142"/>
        <v>75</v>
      </c>
      <c r="F648" s="306">
        <f t="shared" si="146"/>
        <v>10990117.749128679</v>
      </c>
      <c r="G648" s="306">
        <f t="shared" si="147"/>
        <v>5495058.8745643394</v>
      </c>
      <c r="H648" s="306">
        <f t="shared" si="148"/>
        <v>1648517.6623693018</v>
      </c>
      <c r="I648" s="306">
        <f t="shared" si="149"/>
        <v>0</v>
      </c>
      <c r="J648" s="306">
        <f t="shared" si="150"/>
        <v>3846541.2121950374</v>
      </c>
      <c r="K648" s="306"/>
      <c r="L648" s="306"/>
      <c r="M648" s="296"/>
      <c r="N648" s="343"/>
      <c r="O648" s="306"/>
      <c r="P648" s="306"/>
      <c r="Q648" s="306"/>
    </row>
    <row r="649" spans="1:17" x14ac:dyDescent="0.25">
      <c r="A649">
        <f t="shared" si="144"/>
        <v>30</v>
      </c>
      <c r="B649">
        <f t="shared" si="145"/>
        <v>2047</v>
      </c>
      <c r="C649" s="580">
        <f t="shared" si="143"/>
        <v>150</v>
      </c>
      <c r="D649" s="544">
        <f>'Environmental Protection'!C121</f>
        <v>75</v>
      </c>
      <c r="E649" s="20">
        <f t="shared" si="142"/>
        <v>75</v>
      </c>
      <c r="F649" s="306">
        <f t="shared" si="146"/>
        <v>11272599.586550167</v>
      </c>
      <c r="G649" s="306">
        <f t="shared" si="147"/>
        <v>5636299.7932750834</v>
      </c>
      <c r="H649" s="306">
        <f t="shared" si="148"/>
        <v>1690889.9379825252</v>
      </c>
      <c r="I649" s="306">
        <f t="shared" si="149"/>
        <v>0</v>
      </c>
      <c r="J649" s="306">
        <f t="shared" si="150"/>
        <v>3945409.8552925587</v>
      </c>
      <c r="K649" s="306"/>
      <c r="L649" s="306"/>
      <c r="M649" s="296"/>
      <c r="N649" s="343"/>
      <c r="O649" s="306"/>
      <c r="P649" s="306"/>
      <c r="Q649" s="306"/>
    </row>
    <row r="650" spans="1:17" x14ac:dyDescent="0.25">
      <c r="A650">
        <f t="shared" si="144"/>
        <v>31</v>
      </c>
      <c r="B650">
        <f t="shared" si="145"/>
        <v>2048</v>
      </c>
      <c r="C650" s="580">
        <f t="shared" si="143"/>
        <v>150</v>
      </c>
      <c r="D650" s="544">
        <f>'Environmental Protection'!C122</f>
        <v>75</v>
      </c>
      <c r="E650" s="20">
        <f t="shared" si="142"/>
        <v>75</v>
      </c>
      <c r="F650" s="306">
        <f t="shared" si="146"/>
        <v>11562342.12765969</v>
      </c>
      <c r="G650" s="306">
        <f t="shared" si="147"/>
        <v>5781171.0638298448</v>
      </c>
      <c r="H650" s="306">
        <f t="shared" si="148"/>
        <v>1734351.3191489535</v>
      </c>
      <c r="I650" s="306">
        <f t="shared" si="149"/>
        <v>0</v>
      </c>
      <c r="J650" s="306">
        <f t="shared" si="150"/>
        <v>4046819.7446808917</v>
      </c>
      <c r="K650" s="306"/>
      <c r="L650" s="306"/>
      <c r="M650" s="296"/>
      <c r="N650" s="343"/>
      <c r="O650" s="306"/>
      <c r="P650" s="306"/>
      <c r="Q650" s="306"/>
    </row>
    <row r="651" spans="1:17" x14ac:dyDescent="0.25">
      <c r="A651">
        <f t="shared" si="144"/>
        <v>32</v>
      </c>
      <c r="B651">
        <f t="shared" si="145"/>
        <v>2049</v>
      </c>
      <c r="C651" s="580">
        <f t="shared" si="143"/>
        <v>150</v>
      </c>
      <c r="D651" s="544">
        <f>'Environmental Protection'!C123</f>
        <v>75</v>
      </c>
      <c r="E651" s="20">
        <f t="shared" si="142"/>
        <v>75</v>
      </c>
      <c r="F651" s="306">
        <f t="shared" si="146"/>
        <v>11859531.996201016</v>
      </c>
      <c r="G651" s="306">
        <f t="shared" si="147"/>
        <v>5929765.998100508</v>
      </c>
      <c r="H651" s="306">
        <f t="shared" si="148"/>
        <v>1778929.7994301522</v>
      </c>
      <c r="I651" s="306">
        <f t="shared" si="149"/>
        <v>0</v>
      </c>
      <c r="J651" s="306">
        <f t="shared" si="150"/>
        <v>4150836.1986703551</v>
      </c>
      <c r="K651" s="306"/>
      <c r="L651" s="306"/>
      <c r="M651" s="296"/>
      <c r="N651" s="343"/>
      <c r="O651" s="306"/>
      <c r="P651" s="306"/>
      <c r="Q651" s="306"/>
    </row>
    <row r="652" spans="1:17" x14ac:dyDescent="0.25">
      <c r="A652">
        <f t="shared" si="144"/>
        <v>33</v>
      </c>
      <c r="B652">
        <f t="shared" si="145"/>
        <v>2050</v>
      </c>
      <c r="C652" s="580">
        <f t="shared" si="143"/>
        <v>150</v>
      </c>
      <c r="D652" s="544">
        <f>'Environmental Protection'!C124</f>
        <v>75</v>
      </c>
      <c r="E652" s="20">
        <f t="shared" si="142"/>
        <v>75</v>
      </c>
      <c r="F652" s="306">
        <f t="shared" si="146"/>
        <v>12164360.612756232</v>
      </c>
      <c r="G652" s="306">
        <f t="shared" si="147"/>
        <v>6082180.3063781159</v>
      </c>
      <c r="H652" s="306">
        <f t="shared" si="148"/>
        <v>1824654.0919134347</v>
      </c>
      <c r="I652" s="306">
        <f t="shared" si="149"/>
        <v>0</v>
      </c>
      <c r="J652" s="306">
        <f t="shared" si="150"/>
        <v>4257526.2144646812</v>
      </c>
      <c r="K652" s="306"/>
      <c r="L652" s="306"/>
      <c r="M652" s="296"/>
      <c r="N652" s="343"/>
      <c r="O652" s="306"/>
      <c r="P652" s="306"/>
      <c r="Q652" s="306"/>
    </row>
    <row r="653" spans="1:17" x14ac:dyDescent="0.25">
      <c r="A653">
        <f t="shared" si="144"/>
        <v>34</v>
      </c>
      <c r="B653">
        <f t="shared" si="145"/>
        <v>2051</v>
      </c>
      <c r="C653" s="580">
        <f t="shared" si="143"/>
        <v>150</v>
      </c>
      <c r="D653" s="544">
        <f>'Environmental Protection'!C125</f>
        <v>75</v>
      </c>
      <c r="E653" s="20">
        <f t="shared" si="142"/>
        <v>75</v>
      </c>
      <c r="F653" s="306">
        <f t="shared" si="146"/>
        <v>12477024.318040138</v>
      </c>
      <c r="G653" s="306">
        <f t="shared" si="147"/>
        <v>6238512.1590200691</v>
      </c>
      <c r="H653" s="306">
        <f t="shared" si="148"/>
        <v>1871553.6477060206</v>
      </c>
      <c r="I653" s="306">
        <f t="shared" si="149"/>
        <v>0</v>
      </c>
      <c r="J653" s="306">
        <f t="shared" si="150"/>
        <v>4366958.5113140484</v>
      </c>
      <c r="K653" s="306"/>
      <c r="L653" s="306"/>
      <c r="M653" s="296"/>
      <c r="N653" s="343"/>
      <c r="O653" s="306"/>
      <c r="P653" s="306"/>
      <c r="Q653" s="306"/>
    </row>
    <row r="654" spans="1:17" x14ac:dyDescent="0.25">
      <c r="A654">
        <f t="shared" si="144"/>
        <v>35</v>
      </c>
      <c r="B654">
        <f t="shared" si="145"/>
        <v>2052</v>
      </c>
      <c r="C654" s="580">
        <f t="shared" si="143"/>
        <v>150</v>
      </c>
      <c r="D654" s="544">
        <f>'Environmental Protection'!C126</f>
        <v>75</v>
      </c>
      <c r="E654" s="20">
        <f t="shared" si="142"/>
        <v>75</v>
      </c>
      <c r="F654" s="306">
        <f t="shared" si="146"/>
        <v>12797724.499363674</v>
      </c>
      <c r="G654" s="306">
        <f t="shared" si="147"/>
        <v>6398862.2496818369</v>
      </c>
      <c r="H654" s="306">
        <f t="shared" si="148"/>
        <v>1919658.6749045509</v>
      </c>
      <c r="I654" s="306">
        <f t="shared" si="149"/>
        <v>0</v>
      </c>
      <c r="J654" s="306">
        <f t="shared" si="150"/>
        <v>4479203.5747772856</v>
      </c>
      <c r="K654" s="306"/>
      <c r="L654" s="306"/>
      <c r="M654" s="296"/>
      <c r="N654" s="343"/>
      <c r="O654" s="306"/>
      <c r="P654" s="306"/>
      <c r="Q654" s="306"/>
    </row>
    <row r="655" spans="1:17" x14ac:dyDescent="0.25">
      <c r="A655">
        <f t="shared" si="144"/>
        <v>36</v>
      </c>
      <c r="B655">
        <f t="shared" si="145"/>
        <v>2053</v>
      </c>
      <c r="C655" s="580">
        <f t="shared" si="143"/>
        <v>150</v>
      </c>
      <c r="D655" s="544">
        <f>'Environmental Protection'!C127</f>
        <v>75</v>
      </c>
      <c r="E655" s="20">
        <f t="shared" si="142"/>
        <v>75</v>
      </c>
      <c r="F655" s="306">
        <f t="shared" si="146"/>
        <v>13126667.720347898</v>
      </c>
      <c r="G655" s="306">
        <f t="shared" si="147"/>
        <v>6563333.860173949</v>
      </c>
      <c r="H655" s="306">
        <f t="shared" si="148"/>
        <v>1969000.1580521846</v>
      </c>
      <c r="I655" s="306">
        <f t="shared" si="149"/>
        <v>0</v>
      </c>
      <c r="J655" s="306">
        <f t="shared" si="150"/>
        <v>4594333.7021217644</v>
      </c>
      <c r="K655" s="306"/>
      <c r="L655" s="306"/>
      <c r="M655" s="296"/>
      <c r="N655" s="343"/>
      <c r="O655" s="306"/>
      <c r="P655" s="306"/>
      <c r="Q655" s="306"/>
    </row>
    <row r="656" spans="1:17" x14ac:dyDescent="0.25">
      <c r="A656">
        <f t="shared" si="144"/>
        <v>37</v>
      </c>
      <c r="B656">
        <f t="shared" si="145"/>
        <v>2054</v>
      </c>
      <c r="C656" s="580">
        <f t="shared" si="143"/>
        <v>150</v>
      </c>
      <c r="D656" s="544">
        <f>'Environmental Protection'!C128</f>
        <v>75</v>
      </c>
      <c r="E656" s="20">
        <f t="shared" si="142"/>
        <v>75</v>
      </c>
      <c r="F656" s="306">
        <f t="shared" si="146"/>
        <v>13464065.853972008</v>
      </c>
      <c r="G656" s="306">
        <f t="shared" si="147"/>
        <v>6732032.9269860042</v>
      </c>
      <c r="H656" s="306">
        <f t="shared" si="148"/>
        <v>2019609.8780958015</v>
      </c>
      <c r="I656" s="306">
        <f t="shared" si="149"/>
        <v>0</v>
      </c>
      <c r="J656" s="306">
        <f t="shared" si="150"/>
        <v>4712423.0488902032</v>
      </c>
      <c r="K656" s="306"/>
      <c r="L656" s="306"/>
      <c r="M656" s="296"/>
      <c r="N656" s="343"/>
      <c r="O656" s="306"/>
      <c r="P656" s="306"/>
      <c r="Q656" s="306"/>
    </row>
    <row r="657" spans="1:17" x14ac:dyDescent="0.25">
      <c r="A657">
        <f t="shared" si="144"/>
        <v>38</v>
      </c>
      <c r="B657">
        <f t="shared" si="145"/>
        <v>2055</v>
      </c>
      <c r="C657" s="580">
        <f t="shared" si="143"/>
        <v>150</v>
      </c>
      <c r="D657" s="544">
        <f>'Environmental Protection'!C129</f>
        <v>75</v>
      </c>
      <c r="E657" s="20">
        <f t="shared" si="142"/>
        <v>75</v>
      </c>
      <c r="F657" s="306">
        <f t="shared" si="146"/>
        <v>13810136.219041165</v>
      </c>
      <c r="G657" s="306">
        <f t="shared" si="147"/>
        <v>6905068.1095205825</v>
      </c>
      <c r="H657" s="306">
        <f t="shared" si="148"/>
        <v>2071520.4328561749</v>
      </c>
      <c r="I657" s="306">
        <f t="shared" si="149"/>
        <v>0</v>
      </c>
      <c r="J657" s="306">
        <f t="shared" si="150"/>
        <v>4833547.6766644074</v>
      </c>
      <c r="K657" s="306"/>
      <c r="L657" s="306"/>
      <c r="M657" s="296"/>
      <c r="N657" s="343"/>
      <c r="O657" s="306"/>
      <c r="P657" s="306"/>
      <c r="Q657" s="306"/>
    </row>
    <row r="658" spans="1:17" x14ac:dyDescent="0.25">
      <c r="A658">
        <f t="shared" si="144"/>
        <v>39</v>
      </c>
      <c r="B658">
        <f t="shared" si="145"/>
        <v>2056</v>
      </c>
      <c r="C658" s="580">
        <f t="shared" si="143"/>
        <v>150</v>
      </c>
      <c r="D658" s="544">
        <f>'Environmental Protection'!C130</f>
        <v>75</v>
      </c>
      <c r="E658" s="20">
        <f t="shared" si="142"/>
        <v>75</v>
      </c>
      <c r="F658" s="306">
        <f t="shared" si="146"/>
        <v>14165101.720161943</v>
      </c>
      <c r="G658" s="306">
        <f t="shared" si="147"/>
        <v>7082550.8600809714</v>
      </c>
      <c r="H658" s="306">
        <f t="shared" si="148"/>
        <v>2124765.2580242916</v>
      </c>
      <c r="I658" s="306">
        <f t="shared" si="149"/>
        <v>0</v>
      </c>
      <c r="J658" s="306">
        <f t="shared" si="150"/>
        <v>4957785.6020566802</v>
      </c>
      <c r="K658" s="306"/>
      <c r="L658" s="306"/>
      <c r="M658" s="296"/>
      <c r="N658" s="343"/>
      <c r="O658" s="306"/>
      <c r="P658" s="306"/>
      <c r="Q658" s="306"/>
    </row>
    <row r="659" spans="1:17" x14ac:dyDescent="0.25">
      <c r="A659">
        <f t="shared" si="144"/>
        <v>40</v>
      </c>
      <c r="B659">
        <f t="shared" si="145"/>
        <v>2057</v>
      </c>
      <c r="C659" s="580">
        <f t="shared" si="143"/>
        <v>150</v>
      </c>
      <c r="D659" s="544">
        <f>'Environmental Protection'!C131</f>
        <v>75</v>
      </c>
      <c r="E659" s="20">
        <f t="shared" si="142"/>
        <v>75</v>
      </c>
      <c r="F659" s="306">
        <f t="shared" si="146"/>
        <v>14529190.99131565</v>
      </c>
      <c r="G659" s="306">
        <f t="shared" si="147"/>
        <v>7264595.4956578249</v>
      </c>
      <c r="H659" s="306">
        <f t="shared" si="148"/>
        <v>2179378.6486973474</v>
      </c>
      <c r="I659" s="306">
        <f t="shared" si="149"/>
        <v>0</v>
      </c>
      <c r="J659" s="306">
        <f t="shared" si="150"/>
        <v>5085216.8469604775</v>
      </c>
      <c r="K659" s="306"/>
      <c r="L659" s="306"/>
      <c r="M659" s="296"/>
      <c r="N659" s="343"/>
      <c r="O659" s="306"/>
      <c r="P659" s="306"/>
      <c r="Q659" s="306"/>
    </row>
    <row r="660" spans="1:17" x14ac:dyDescent="0.25">
      <c r="C660" s="19"/>
      <c r="D660" s="20"/>
      <c r="E660" s="306"/>
      <c r="F660" s="306"/>
      <c r="G660" s="306"/>
      <c r="H660" s="306"/>
      <c r="I660" s="306"/>
      <c r="J660" s="306"/>
      <c r="K660" s="306"/>
      <c r="L660" s="296"/>
      <c r="M660" s="306"/>
      <c r="N660" s="343"/>
      <c r="O660" s="306"/>
      <c r="P660" s="306"/>
      <c r="Q660" s="306"/>
    </row>
    <row r="661" spans="1:17" x14ac:dyDescent="0.25">
      <c r="C661" s="19"/>
      <c r="D661" s="20"/>
      <c r="L661" s="250"/>
      <c r="N661" s="63"/>
      <c r="O661" s="58"/>
    </row>
    <row r="662" spans="1:17" x14ac:dyDescent="0.25">
      <c r="C662" s="19"/>
      <c r="D662" s="20"/>
      <c r="L662" s="250"/>
      <c r="N662" s="63"/>
      <c r="O662" s="58"/>
    </row>
    <row r="663" spans="1:17" x14ac:dyDescent="0.25">
      <c r="B663" s="57" t="s">
        <v>6</v>
      </c>
      <c r="C663" s="19"/>
      <c r="D663" s="20"/>
      <c r="L663" s="9"/>
      <c r="N663" s="9"/>
      <c r="O663" s="9"/>
    </row>
    <row r="664" spans="1:17" x14ac:dyDescent="0.25">
      <c r="B664" s="18"/>
      <c r="C664" s="19"/>
      <c r="D664" s="20"/>
    </row>
    <row r="665" spans="1:17" ht="18.75" x14ac:dyDescent="0.3">
      <c r="A665" s="573" t="s">
        <v>161</v>
      </c>
      <c r="B665" s="573"/>
      <c r="C665" s="573"/>
      <c r="D665" s="573"/>
      <c r="L665" s="1"/>
      <c r="M665" s="63"/>
    </row>
    <row r="666" spans="1:17" x14ac:dyDescent="0.25">
      <c r="A666" s="571" t="s">
        <v>162</v>
      </c>
      <c r="B666" s="571"/>
      <c r="C666" s="571"/>
      <c r="D666" s="571"/>
    </row>
    <row r="668" spans="1:17" s="6" customFormat="1" x14ac:dyDescent="0.25">
      <c r="A668"/>
      <c r="B668"/>
      <c r="C668"/>
      <c r="D668" s="135" t="s">
        <v>163</v>
      </c>
      <c r="L668" s="159"/>
    </row>
    <row r="669" spans="1:17" x14ac:dyDescent="0.25">
      <c r="A669" t="s">
        <v>164</v>
      </c>
      <c r="C669" s="136">
        <v>1.49</v>
      </c>
      <c r="D669" t="s">
        <v>165</v>
      </c>
      <c r="J669">
        <f>59+46</f>
        <v>105</v>
      </c>
    </row>
    <row r="670" spans="1:17" x14ac:dyDescent="0.25">
      <c r="A670" t="s">
        <v>166</v>
      </c>
    </row>
    <row r="671" spans="1:17" x14ac:dyDescent="0.25">
      <c r="A671" t="s">
        <v>167</v>
      </c>
      <c r="B671" s="136">
        <v>0.183</v>
      </c>
    </row>
    <row r="672" spans="1:17" x14ac:dyDescent="0.25">
      <c r="A672" t="s">
        <v>168</v>
      </c>
      <c r="B672" s="136">
        <v>8.5000000000000006E-2</v>
      </c>
    </row>
    <row r="673" spans="1:13" x14ac:dyDescent="0.25">
      <c r="A673" t="s">
        <v>169</v>
      </c>
      <c r="C673" s="136">
        <f>+B671+B672</f>
        <v>0.26800000000000002</v>
      </c>
    </row>
    <row r="674" spans="1:13" x14ac:dyDescent="0.25">
      <c r="A674" s="1" t="s">
        <v>170</v>
      </c>
      <c r="B674" s="1"/>
      <c r="C674" s="137">
        <f>+C669-C673</f>
        <v>1.222</v>
      </c>
    </row>
    <row r="676" spans="1:13" x14ac:dyDescent="0.25">
      <c r="A676" s="135" t="s">
        <v>171</v>
      </c>
    </row>
    <row r="677" spans="1:13" x14ac:dyDescent="0.25">
      <c r="A677" t="s">
        <v>172</v>
      </c>
      <c r="C677">
        <v>0.90400000000000003</v>
      </c>
      <c r="D677" t="s">
        <v>173</v>
      </c>
    </row>
    <row r="678" spans="1:13" x14ac:dyDescent="0.25">
      <c r="A678" t="s">
        <v>174</v>
      </c>
      <c r="C678" s="256">
        <f>+C674/C677</f>
        <v>1.3517699115044246</v>
      </c>
    </row>
    <row r="680" spans="1:13" x14ac:dyDescent="0.25">
      <c r="A680" s="135" t="s">
        <v>175</v>
      </c>
      <c r="C680" s="93">
        <f>3.1/3.6</f>
        <v>0.86111111111111116</v>
      </c>
      <c r="D680" t="s">
        <v>176</v>
      </c>
    </row>
    <row r="681" spans="1:13" x14ac:dyDescent="0.25">
      <c r="D681" t="s">
        <v>177</v>
      </c>
    </row>
    <row r="682" spans="1:13" x14ac:dyDescent="0.25">
      <c r="A682" s="1" t="s">
        <v>178</v>
      </c>
      <c r="B682" s="1"/>
      <c r="C682" s="255">
        <f>+C678/C680</f>
        <v>1.5697973165857833</v>
      </c>
    </row>
    <row r="683" spans="1:13" x14ac:dyDescent="0.25">
      <c r="B683" s="18"/>
      <c r="C683" s="19"/>
      <c r="D683" s="20"/>
    </row>
    <row r="684" spans="1:13" x14ac:dyDescent="0.25">
      <c r="B684" s="18"/>
      <c r="C684" s="19"/>
      <c r="D684" s="20"/>
    </row>
    <row r="685" spans="1:13" x14ac:dyDescent="0.25">
      <c r="B685" s="18"/>
      <c r="C685" s="19"/>
      <c r="D685" s="20"/>
    </row>
    <row r="686" spans="1:13" x14ac:dyDescent="0.25">
      <c r="A686" s="12" t="s">
        <v>48</v>
      </c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s="6" customFormat="1" x14ac:dyDescent="0.25">
      <c r="A687" s="1" t="s">
        <v>232</v>
      </c>
      <c r="B687" s="6">
        <v>17.5</v>
      </c>
      <c r="D687" s="170" t="s">
        <v>233</v>
      </c>
    </row>
    <row r="688" spans="1:13" s="6" customFormat="1" x14ac:dyDescent="0.25">
      <c r="A688" s="14" t="s">
        <v>387</v>
      </c>
      <c r="B688" s="479">
        <v>3.17</v>
      </c>
    </row>
    <row r="689" spans="1:7" s="6" customFormat="1" x14ac:dyDescent="0.25">
      <c r="A689" s="14"/>
      <c r="B689" s="479"/>
    </row>
    <row r="690" spans="1:7" s="6" customFormat="1" x14ac:dyDescent="0.25">
      <c r="A690" s="14" t="s">
        <v>457</v>
      </c>
      <c r="B690" s="545">
        <v>7.9399999999999998E-2</v>
      </c>
    </row>
    <row r="691" spans="1:7" s="6" customFormat="1" x14ac:dyDescent="0.25">
      <c r="A691" s="546" t="s">
        <v>458</v>
      </c>
      <c r="B691" s="479">
        <v>5625</v>
      </c>
      <c r="C691" s="6" t="s">
        <v>463</v>
      </c>
    </row>
    <row r="692" spans="1:7" s="6" customFormat="1" x14ac:dyDescent="0.25">
      <c r="A692" s="546" t="s">
        <v>459</v>
      </c>
      <c r="B692" s="176">
        <v>13474</v>
      </c>
      <c r="C692" s="6" t="s">
        <v>462</v>
      </c>
    </row>
    <row r="693" spans="1:7" s="6" customFormat="1" ht="30" x14ac:dyDescent="0.25">
      <c r="A693" s="547" t="s">
        <v>460</v>
      </c>
      <c r="B693" s="479">
        <f>B691/B692</f>
        <v>0.41747068428083717</v>
      </c>
    </row>
    <row r="694" spans="1:7" s="6" customFormat="1" x14ac:dyDescent="0.25">
      <c r="A694" s="14" t="s">
        <v>461</v>
      </c>
      <c r="B694" s="479">
        <f>B690+B693</f>
        <v>0.49687068428083714</v>
      </c>
    </row>
    <row r="695" spans="1:7" s="6" customFormat="1" x14ac:dyDescent="0.25">
      <c r="A695" s="546" t="s">
        <v>324</v>
      </c>
      <c r="B695" s="590">
        <f>E48</f>
        <v>2.5703258497288287E-2</v>
      </c>
    </row>
    <row r="696" spans="1:7" s="6" customFormat="1" x14ac:dyDescent="0.25">
      <c r="A696" s="14"/>
      <c r="B696" s="479"/>
    </row>
    <row r="697" spans="1:7" ht="45" x14ac:dyDescent="0.25">
      <c r="A697" s="548" t="s">
        <v>0</v>
      </c>
      <c r="B697" s="197" t="s">
        <v>0</v>
      </c>
      <c r="C697" s="177" t="s">
        <v>231</v>
      </c>
      <c r="D697" s="178" t="s">
        <v>228</v>
      </c>
      <c r="E697" s="178" t="s">
        <v>229</v>
      </c>
      <c r="F697" s="178" t="s">
        <v>230</v>
      </c>
      <c r="G697" s="178" t="s">
        <v>481</v>
      </c>
    </row>
    <row r="698" spans="1:7" x14ac:dyDescent="0.25">
      <c r="A698">
        <v>1</v>
      </c>
      <c r="B698" s="462">
        <v>2018</v>
      </c>
      <c r="C698" s="463"/>
      <c r="D698" s="464"/>
      <c r="E698" s="465">
        <f>B688</f>
        <v>3.17</v>
      </c>
      <c r="F698" s="464"/>
      <c r="G698" s="2">
        <f>C698*B694</f>
        <v>0</v>
      </c>
    </row>
    <row r="699" spans="1:7" x14ac:dyDescent="0.25">
      <c r="A699">
        <f>A698+1</f>
        <v>2</v>
      </c>
      <c r="B699" s="462">
        <f>B698+1</f>
        <v>2019</v>
      </c>
      <c r="C699" s="463"/>
      <c r="D699" s="464"/>
      <c r="E699" s="465">
        <f>E698*(1+$B$748)</f>
        <v>3.2514793294364037</v>
      </c>
      <c r="F699" s="464"/>
      <c r="G699" s="2">
        <f>(C699*(($B$694*((1+$B$695)^A698))))</f>
        <v>0</v>
      </c>
    </row>
    <row r="700" spans="1:7" x14ac:dyDescent="0.25">
      <c r="A700">
        <f t="shared" ref="A700:A737" si="151">A699+1</f>
        <v>3</v>
      </c>
      <c r="B700" s="462">
        <f>B699+1</f>
        <v>2020</v>
      </c>
      <c r="C700" s="463"/>
      <c r="D700" s="464"/>
      <c r="E700" s="465">
        <f t="shared" ref="E700:E737" si="152">E699*(1+$B$748)</f>
        <v>3.3350529431394973</v>
      </c>
      <c r="F700" s="464"/>
      <c r="G700" s="2">
        <f t="shared" ref="G700:G737" si="153">(C700*(($B$694*((1+$B$695)^A699))))</f>
        <v>0</v>
      </c>
    </row>
    <row r="701" spans="1:7" x14ac:dyDescent="0.25">
      <c r="A701">
        <f t="shared" si="151"/>
        <v>4</v>
      </c>
      <c r="B701" s="462">
        <f>B700+1</f>
        <v>2021</v>
      </c>
      <c r="C701" s="463"/>
      <c r="D701" s="464"/>
      <c r="E701" s="465">
        <f t="shared" si="152"/>
        <v>3.4207746710391538</v>
      </c>
      <c r="F701" s="464"/>
      <c r="G701" s="2">
        <f t="shared" si="153"/>
        <v>0</v>
      </c>
    </row>
    <row r="702" spans="1:7" x14ac:dyDescent="0.25">
      <c r="A702">
        <f t="shared" si="151"/>
        <v>5</v>
      </c>
      <c r="B702">
        <v>2022</v>
      </c>
      <c r="C702" s="27">
        <f>'Environmental Protection'!C148</f>
        <v>89445.217406463853</v>
      </c>
      <c r="D702" s="198">
        <f>C702/$B$687</f>
        <v>5111.155280369363</v>
      </c>
      <c r="E702" s="465">
        <f t="shared" si="152"/>
        <v>3.5086997266698492</v>
      </c>
      <c r="F702" s="2">
        <f>D702*E702</f>
        <v>17933.50913519914</v>
      </c>
      <c r="G702" s="2">
        <f t="shared" si="153"/>
        <v>49191.202436073567</v>
      </c>
    </row>
    <row r="703" spans="1:7" x14ac:dyDescent="0.25">
      <c r="A703">
        <f t="shared" si="151"/>
        <v>6</v>
      </c>
      <c r="B703">
        <f>B702+1</f>
        <v>2023</v>
      </c>
      <c r="C703" s="27">
        <f>'Environmental Protection'!C149</f>
        <v>254305.86060531309</v>
      </c>
      <c r="D703" s="198">
        <f t="shared" ref="D703:D737" si="154">C703/$B$687</f>
        <v>14531.763463160749</v>
      </c>
      <c r="E703" s="465">
        <f t="shared" si="152"/>
        <v>3.5988847427338091</v>
      </c>
      <c r="F703" s="2">
        <f t="shared" ref="F703:F737" si="155">D703*E703</f>
        <v>52298.14181258584</v>
      </c>
      <c r="G703" s="2">
        <f t="shared" si="153"/>
        <v>143452.59823600197</v>
      </c>
    </row>
    <row r="704" spans="1:7" x14ac:dyDescent="0.25">
      <c r="A704">
        <f t="shared" si="151"/>
        <v>7</v>
      </c>
      <c r="B704">
        <f t="shared" ref="B704:B737" si="156">B703+1</f>
        <v>2024</v>
      </c>
      <c r="C704" s="257">
        <f>'Environmental Protection'!C150</f>
        <v>412556.60547762894</v>
      </c>
      <c r="D704" s="198">
        <f t="shared" si="154"/>
        <v>23574.663170150227</v>
      </c>
      <c r="E704" s="465">
        <f t="shared" si="152"/>
        <v>3.6913878075782431</v>
      </c>
      <c r="F704" s="2">
        <f t="shared" si="155"/>
        <v>87023.224194056398</v>
      </c>
      <c r="G704" s="2">
        <f t="shared" si="153"/>
        <v>238702.69927080325</v>
      </c>
    </row>
    <row r="705" spans="1:9" x14ac:dyDescent="0.25">
      <c r="A705">
        <f t="shared" si="151"/>
        <v>8</v>
      </c>
      <c r="B705">
        <f t="shared" si="156"/>
        <v>2025</v>
      </c>
      <c r="C705" s="27">
        <f>'Environmental Protection'!C151</f>
        <v>564124.96275006607</v>
      </c>
      <c r="D705" s="198">
        <f t="shared" si="154"/>
        <v>32235.712157146634</v>
      </c>
      <c r="E705" s="465">
        <f t="shared" si="152"/>
        <v>3.7862685026101648</v>
      </c>
      <c r="F705" s="2">
        <f t="shared" si="155"/>
        <v>122053.06159981187</v>
      </c>
      <c r="G705" s="2">
        <f t="shared" si="153"/>
        <v>334788.73631678853</v>
      </c>
    </row>
    <row r="706" spans="1:9" x14ac:dyDescent="0.25">
      <c r="A706">
        <f t="shared" si="151"/>
        <v>9</v>
      </c>
      <c r="B706">
        <f t="shared" si="156"/>
        <v>2026</v>
      </c>
      <c r="C706" s="27">
        <f>'Environmental Protection'!C152</f>
        <v>708938.31356493104</v>
      </c>
      <c r="D706" s="198">
        <f t="shared" si="154"/>
        <v>40510.760775138915</v>
      </c>
      <c r="E706" s="465">
        <f t="shared" si="152"/>
        <v>3.8835879406728946</v>
      </c>
      <c r="F706" s="2">
        <f t="shared" si="155"/>
        <v>157327.102013814</v>
      </c>
      <c r="G706" s="2">
        <f t="shared" si="153"/>
        <v>431544.61658885953</v>
      </c>
    </row>
    <row r="707" spans="1:9" x14ac:dyDescent="0.25">
      <c r="A707">
        <f t="shared" si="151"/>
        <v>10</v>
      </c>
      <c r="B707">
        <f t="shared" si="156"/>
        <v>2027</v>
      </c>
      <c r="C707" s="27">
        <f>'Environmental Protection'!C153</f>
        <v>916923.93600543775</v>
      </c>
      <c r="D707" s="198">
        <f t="shared" si="154"/>
        <v>52395.653486025018</v>
      </c>
      <c r="E707" s="465">
        <f t="shared" si="152"/>
        <v>3.9834088054089616</v>
      </c>
      <c r="F707" s="2">
        <f t="shared" si="155"/>
        <v>208713.30746138882</v>
      </c>
      <c r="G707" s="2">
        <f t="shared" si="153"/>
        <v>572495.7943832801</v>
      </c>
    </row>
    <row r="708" spans="1:9" x14ac:dyDescent="0.25">
      <c r="A708">
        <f t="shared" si="151"/>
        <v>11</v>
      </c>
      <c r="B708">
        <f t="shared" si="156"/>
        <v>2028</v>
      </c>
      <c r="C708" s="27">
        <f>'Environmental Protection'!C154</f>
        <v>1118009.0327921624</v>
      </c>
      <c r="D708" s="198">
        <f t="shared" si="154"/>
        <v>63886.230445266425</v>
      </c>
      <c r="E708" s="465">
        <f t="shared" si="152"/>
        <v>4.085795391634762</v>
      </c>
      <c r="F708" s="2">
        <f t="shared" si="155"/>
        <v>261026.06594218599</v>
      </c>
      <c r="G708" s="2">
        <f t="shared" si="153"/>
        <v>715988.48580347165</v>
      </c>
    </row>
    <row r="709" spans="1:9" x14ac:dyDescent="0.25">
      <c r="A709">
        <f t="shared" si="151"/>
        <v>12</v>
      </c>
      <c r="B709">
        <f t="shared" si="156"/>
        <v>2029</v>
      </c>
      <c r="C709" s="27">
        <f>'Environmental Protection'!C155</f>
        <v>1312120.7601881549</v>
      </c>
      <c r="D709" s="198">
        <f t="shared" si="154"/>
        <v>74978.329153608851</v>
      </c>
      <c r="E709" s="465">
        <f t="shared" si="152"/>
        <v>4.1908136467529795</v>
      </c>
      <c r="F709" s="2">
        <f t="shared" si="155"/>
        <v>314220.20502768073</v>
      </c>
      <c r="G709" s="2">
        <f t="shared" si="153"/>
        <v>861898.78391859692</v>
      </c>
    </row>
    <row r="710" spans="1:9" x14ac:dyDescent="0.25">
      <c r="A710">
        <f t="shared" si="151"/>
        <v>13</v>
      </c>
      <c r="B710">
        <f t="shared" si="156"/>
        <v>2030</v>
      </c>
      <c r="C710" s="27">
        <f>'Environmental Protection'!C156</f>
        <v>1499186.2581513219</v>
      </c>
      <c r="D710" s="198">
        <f t="shared" si="154"/>
        <v>85667.786180075535</v>
      </c>
      <c r="E710" s="465">
        <f t="shared" si="152"/>
        <v>4.2985312132294347</v>
      </c>
      <c r="F710" s="2">
        <f t="shared" si="155"/>
        <v>368245.65286331991</v>
      </c>
      <c r="G710" s="2">
        <f t="shared" si="153"/>
        <v>1010089.3427850866</v>
      </c>
    </row>
    <row r="711" spans="1:9" x14ac:dyDescent="0.25">
      <c r="A711">
        <f t="shared" si="151"/>
        <v>14</v>
      </c>
      <c r="B711">
        <f t="shared" si="156"/>
        <v>2031</v>
      </c>
      <c r="C711" s="27">
        <f>'Environmental Protection'!C157</f>
        <v>1679132.6817736954</v>
      </c>
      <c r="D711" s="198">
        <f t="shared" si="154"/>
        <v>95950.438958496874</v>
      </c>
      <c r="E711" s="465">
        <f t="shared" si="152"/>
        <v>4.4090174721617332</v>
      </c>
      <c r="F711" s="2">
        <f t="shared" si="155"/>
        <v>423047.16182960058</v>
      </c>
      <c r="G711" s="2">
        <f t="shared" si="153"/>
        <v>1160408.6194553454</v>
      </c>
    </row>
    <row r="712" spans="1:9" x14ac:dyDescent="0.25">
      <c r="A712">
        <f t="shared" si="151"/>
        <v>15</v>
      </c>
      <c r="B712">
        <f t="shared" si="156"/>
        <v>2032</v>
      </c>
      <c r="C712" s="27">
        <f>'Environmental Protection'!C158</f>
        <v>1921887.2340483628</v>
      </c>
      <c r="D712" s="198">
        <f t="shared" si="154"/>
        <v>109822.12765990644</v>
      </c>
      <c r="E712" s="465">
        <f t="shared" si="152"/>
        <v>4.5223435879677671</v>
      </c>
      <c r="F712" s="2">
        <f t="shared" si="155"/>
        <v>496653.39483975549</v>
      </c>
      <c r="G712" s="2">
        <f t="shared" si="153"/>
        <v>1362308.8209866015</v>
      </c>
    </row>
    <row r="713" spans="1:9" x14ac:dyDescent="0.25">
      <c r="A713">
        <f t="shared" si="151"/>
        <v>16</v>
      </c>
      <c r="B713">
        <f t="shared" si="156"/>
        <v>2033</v>
      </c>
      <c r="C713" s="27">
        <f>'Environmental Protection'!C159</f>
        <v>2157377.2000059052</v>
      </c>
      <c r="D713" s="198">
        <f t="shared" si="154"/>
        <v>123278.69714319459</v>
      </c>
      <c r="E713" s="465">
        <f t="shared" si="152"/>
        <v>4.6385825542228565</v>
      </c>
      <c r="F713" s="2">
        <f t="shared" si="155"/>
        <v>571838.41387574549</v>
      </c>
      <c r="G713" s="2">
        <f t="shared" si="153"/>
        <v>1568539.596217328</v>
      </c>
    </row>
    <row r="714" spans="1:9" x14ac:dyDescent="0.25">
      <c r="A714">
        <f t="shared" si="151"/>
        <v>17</v>
      </c>
      <c r="B714">
        <f t="shared" si="156"/>
        <v>2034</v>
      </c>
      <c r="C714" s="27">
        <f>'Environmental Protection'!C160</f>
        <v>2385529.9822634477</v>
      </c>
      <c r="D714" s="198">
        <f t="shared" si="154"/>
        <v>136315.99898648274</v>
      </c>
      <c r="E714" s="465">
        <f t="shared" si="152"/>
        <v>4.7578092406750585</v>
      </c>
      <c r="F714" s="2">
        <f t="shared" si="155"/>
        <v>648565.51962973946</v>
      </c>
      <c r="G714" s="2">
        <f t="shared" si="153"/>
        <v>1779000.2797915593</v>
      </c>
    </row>
    <row r="715" spans="1:9" x14ac:dyDescent="0.25">
      <c r="A715">
        <f t="shared" si="151"/>
        <v>18</v>
      </c>
      <c r="B715">
        <f t="shared" si="156"/>
        <v>2035</v>
      </c>
      <c r="C715" s="27">
        <f>'Environmental Protection'!C161</f>
        <v>2606273.1380305956</v>
      </c>
      <c r="D715" s="198">
        <f t="shared" si="154"/>
        <v>148929.89360174831</v>
      </c>
      <c r="E715" s="465">
        <f t="shared" si="152"/>
        <v>4.8801004414689162</v>
      </c>
      <c r="F715" s="2">
        <f t="shared" si="155"/>
        <v>726792.83951381058</v>
      </c>
      <c r="G715" s="2">
        <f t="shared" si="153"/>
        <v>1993576.0161652039</v>
      </c>
    </row>
    <row r="716" spans="1:9" x14ac:dyDescent="0.25">
      <c r="A716">
        <f t="shared" si="151"/>
        <v>19</v>
      </c>
      <c r="B716">
        <f t="shared" si="156"/>
        <v>2036</v>
      </c>
      <c r="C716" s="27">
        <f>'Environmental Protection'!C162</f>
        <v>2889534.4176177988</v>
      </c>
      <c r="D716" s="198">
        <f t="shared" si="154"/>
        <v>165116.2524353028</v>
      </c>
      <c r="E716" s="465">
        <f t="shared" si="152"/>
        <v>5.005534924608722</v>
      </c>
      <c r="F716" s="2">
        <f t="shared" si="155"/>
        <v>826495.16818541812</v>
      </c>
      <c r="G716" s="2">
        <f t="shared" si="153"/>
        <v>2267057.2069382179</v>
      </c>
    </row>
    <row r="717" spans="1:9" x14ac:dyDescent="0.25">
      <c r="A717">
        <f t="shared" si="151"/>
        <v>20</v>
      </c>
      <c r="B717">
        <f t="shared" si="156"/>
        <v>2037</v>
      </c>
      <c r="C717" s="27">
        <f>'Environmental Protection'!C163</f>
        <v>3165241.804493784</v>
      </c>
      <c r="D717" s="198">
        <f t="shared" si="154"/>
        <v>180870.96025678766</v>
      </c>
      <c r="E717" s="465">
        <f t="shared" si="152"/>
        <v>5.1341934826931439</v>
      </c>
      <c r="F717" s="2">
        <f t="shared" si="155"/>
        <v>928626.50535884988</v>
      </c>
      <c r="G717" s="2">
        <f t="shared" si="153"/>
        <v>2547201.112076357</v>
      </c>
    </row>
    <row r="718" spans="1:9" x14ac:dyDescent="0.25">
      <c r="A718">
        <f t="shared" si="151"/>
        <v>21</v>
      </c>
      <c r="B718">
        <f t="shared" si="156"/>
        <v>2038</v>
      </c>
      <c r="C718" s="27">
        <f>'Environmental Protection'!C164</f>
        <v>3433323.5569404056</v>
      </c>
      <c r="D718" s="198">
        <f t="shared" si="154"/>
        <v>196189.91753945174</v>
      </c>
      <c r="E718" s="465">
        <f t="shared" si="152"/>
        <v>5.2661589849538988</v>
      </c>
      <c r="F718" s="2">
        <f t="shared" si="155"/>
        <v>1033167.2970077483</v>
      </c>
      <c r="G718" s="2">
        <f t="shared" si="153"/>
        <v>2833954.0953357732</v>
      </c>
    </row>
    <row r="719" spans="1:9" x14ac:dyDescent="0.25">
      <c r="A719">
        <f t="shared" si="151"/>
        <v>22</v>
      </c>
      <c r="B719">
        <f t="shared" si="156"/>
        <v>2039</v>
      </c>
      <c r="C719" s="27">
        <f>'Environmental Protection'!C165</f>
        <v>3693708.2513539921</v>
      </c>
      <c r="D719" s="198">
        <f t="shared" si="154"/>
        <v>211069.04293451383</v>
      </c>
      <c r="E719" s="465">
        <f t="shared" si="152"/>
        <v>5.4015164306319861</v>
      </c>
      <c r="F719" s="2">
        <f t="shared" si="155"/>
        <v>1140092.9034085446</v>
      </c>
      <c r="G719" s="2">
        <f t="shared" si="153"/>
        <v>3127248.5705223265</v>
      </c>
      <c r="I719" s="83"/>
    </row>
    <row r="720" spans="1:9" x14ac:dyDescent="0.25">
      <c r="A720">
        <f t="shared" si="151"/>
        <v>23</v>
      </c>
      <c r="B720">
        <f t="shared" si="156"/>
        <v>2040</v>
      </c>
      <c r="C720" s="27">
        <f>'Environmental Protection'!C166</f>
        <v>4016324.8272443321</v>
      </c>
      <c r="D720" s="198">
        <f t="shared" si="154"/>
        <v>229504.27584253327</v>
      </c>
      <c r="E720" s="465">
        <f t="shared" si="152"/>
        <v>5.5403530037258699</v>
      </c>
      <c r="F720" s="2">
        <f t="shared" si="155"/>
        <v>1271534.7040321098</v>
      </c>
      <c r="G720" s="2">
        <f t="shared" si="153"/>
        <v>3487790.4016994187</v>
      </c>
    </row>
    <row r="721" spans="1:7" x14ac:dyDescent="0.25">
      <c r="A721">
        <f t="shared" si="151"/>
        <v>24</v>
      </c>
      <c r="B721">
        <f t="shared" si="156"/>
        <v>2041</v>
      </c>
      <c r="C721" s="27">
        <f>'Environmental Protection'!C167</f>
        <v>4331102.6339832256</v>
      </c>
      <c r="D721" s="198">
        <f t="shared" si="154"/>
        <v>247491.57908475574</v>
      </c>
      <c r="E721" s="465">
        <f t="shared" si="152"/>
        <v>5.6827581291468636</v>
      </c>
      <c r="F721" s="2">
        <f t="shared" si="155"/>
        <v>1406434.7829392895</v>
      </c>
      <c r="G721" s="2">
        <f t="shared" si="153"/>
        <v>3857818.2105425154</v>
      </c>
    </row>
    <row r="722" spans="1:7" x14ac:dyDescent="0.25">
      <c r="A722">
        <f t="shared" si="151"/>
        <v>25</v>
      </c>
      <c r="B722">
        <f t="shared" si="156"/>
        <v>2042</v>
      </c>
      <c r="C722" s="27">
        <f>'Environmental Protection'!C168</f>
        <v>4637971.4793563439</v>
      </c>
      <c r="D722" s="198">
        <f t="shared" si="154"/>
        <v>265026.94167750538</v>
      </c>
      <c r="E722" s="465">
        <f t="shared" si="152"/>
        <v>5.8288235303178917</v>
      </c>
      <c r="F722" s="2">
        <f t="shared" si="155"/>
        <v>1544795.273818031</v>
      </c>
      <c r="G722" s="2">
        <f t="shared" si="153"/>
        <v>4237337.8497085003</v>
      </c>
    </row>
    <row r="723" spans="1:7" x14ac:dyDescent="0.25">
      <c r="A723">
        <f t="shared" si="151"/>
        <v>26</v>
      </c>
      <c r="B723">
        <f t="shared" si="156"/>
        <v>2043</v>
      </c>
      <c r="C723" s="27">
        <f>'Environmental Protection'!C169</f>
        <v>4936861.6799735501</v>
      </c>
      <c r="D723" s="198">
        <f t="shared" si="154"/>
        <v>282106.38171277428</v>
      </c>
      <c r="E723" s="465">
        <f t="shared" si="152"/>
        <v>5.9786432882527292</v>
      </c>
      <c r="F723" s="2">
        <f t="shared" si="155"/>
        <v>1686613.4256003404</v>
      </c>
      <c r="G723" s="2">
        <f t="shared" si="153"/>
        <v>4626341.773081244</v>
      </c>
    </row>
    <row r="724" spans="1:7" x14ac:dyDescent="0.25">
      <c r="A724">
        <f t="shared" si="151"/>
        <v>27</v>
      </c>
      <c r="B724">
        <f t="shared" si="156"/>
        <v>2044</v>
      </c>
      <c r="C724" s="27">
        <f>'Environmental Protection'!C170</f>
        <v>5297704.113594274</v>
      </c>
      <c r="D724" s="198">
        <f t="shared" si="154"/>
        <v>302725.94934824423</v>
      </c>
      <c r="E724" s="465">
        <f t="shared" si="152"/>
        <v>6.1323139021537667</v>
      </c>
      <c r="F724" s="2">
        <f t="shared" si="155"/>
        <v>1856410.547730935</v>
      </c>
      <c r="G724" s="2">
        <f t="shared" si="153"/>
        <v>5092091.3675872516</v>
      </c>
    </row>
    <row r="725" spans="1:7" x14ac:dyDescent="0.25">
      <c r="A725">
        <f t="shared" si="151"/>
        <v>28</v>
      </c>
      <c r="B725">
        <f t="shared" si="156"/>
        <v>2045</v>
      </c>
      <c r="C725" s="27">
        <f>'Environmental Protection'!C171</f>
        <v>5650430.2734261984</v>
      </c>
      <c r="D725" s="198">
        <f t="shared" si="154"/>
        <v>322881.7299100685</v>
      </c>
      <c r="E725" s="465">
        <f t="shared" si="152"/>
        <v>6.2899343515673394</v>
      </c>
      <c r="F725" s="2">
        <f t="shared" si="155"/>
        <v>2030904.8844548275</v>
      </c>
      <c r="G725" s="2">
        <f t="shared" si="153"/>
        <v>5570725.3135162089</v>
      </c>
    </row>
    <row r="726" spans="1:7" x14ac:dyDescent="0.25">
      <c r="A726">
        <f t="shared" si="151"/>
        <v>29</v>
      </c>
      <c r="B726">
        <f t="shared" si="156"/>
        <v>2046</v>
      </c>
      <c r="C726" s="27">
        <f>'Environmental Protection'!C172</f>
        <v>5994972.3244569767</v>
      </c>
      <c r="D726" s="198">
        <f t="shared" si="154"/>
        <v>342569.84711182723</v>
      </c>
      <c r="E726" s="465">
        <f t="shared" si="152"/>
        <v>6.4516061601366479</v>
      </c>
      <c r="F726" s="2">
        <f t="shared" si="155"/>
        <v>2210125.7359037343</v>
      </c>
      <c r="G726" s="2">
        <f t="shared" si="153"/>
        <v>6062323.9804544495</v>
      </c>
    </row>
    <row r="727" spans="1:7" x14ac:dyDescent="0.25">
      <c r="A727">
        <f t="shared" si="151"/>
        <v>30</v>
      </c>
      <c r="B727">
        <f t="shared" si="156"/>
        <v>2047</v>
      </c>
      <c r="C727" s="27">
        <f>'Environmental Protection'!C173</f>
        <v>6401263.1618804634</v>
      </c>
      <c r="D727" s="198">
        <f t="shared" si="154"/>
        <v>365786.46639316931</v>
      </c>
      <c r="E727" s="465">
        <f t="shared" si="152"/>
        <v>6.6174334609933378</v>
      </c>
      <c r="F727" s="2">
        <f t="shared" si="155"/>
        <v>2420567.6022886736</v>
      </c>
      <c r="G727" s="2">
        <f t="shared" si="153"/>
        <v>6639561.1721454198</v>
      </c>
    </row>
    <row r="728" spans="1:7" x14ac:dyDescent="0.25">
      <c r="A728">
        <f t="shared" si="151"/>
        <v>31</v>
      </c>
      <c r="B728">
        <f t="shared" si="156"/>
        <v>2048</v>
      </c>
      <c r="C728" s="27">
        <f>'Environmental Protection'!C174</f>
        <v>6799236.4716806412</v>
      </c>
      <c r="D728" s="198">
        <f t="shared" si="154"/>
        <v>388527.79838175094</v>
      </c>
      <c r="E728" s="465">
        <f t="shared" si="152"/>
        <v>6.7875230638298545</v>
      </c>
      <c r="F728" s="2">
        <f t="shared" si="155"/>
        <v>2637141.3924551699</v>
      </c>
      <c r="G728" s="2">
        <f t="shared" si="153"/>
        <v>7233618.0895123361</v>
      </c>
    </row>
    <row r="729" spans="1:7" x14ac:dyDescent="0.25">
      <c r="A729">
        <f t="shared" si="151"/>
        <v>32</v>
      </c>
      <c r="B729">
        <f t="shared" si="156"/>
        <v>2049</v>
      </c>
      <c r="C729" s="27">
        <f>'Environmental Protection'!C175</f>
        <v>7188826.7934380537</v>
      </c>
      <c r="D729" s="198">
        <f t="shared" si="154"/>
        <v>410790.10248217452</v>
      </c>
      <c r="E729" s="465">
        <f t="shared" si="152"/>
        <v>6.9619845236957794</v>
      </c>
      <c r="F729" s="2">
        <f t="shared" si="155"/>
        <v>2859914.3359683021</v>
      </c>
      <c r="G729" s="2">
        <f t="shared" si="153"/>
        <v>7844679.1417034902</v>
      </c>
    </row>
    <row r="730" spans="1:7" x14ac:dyDescent="0.25">
      <c r="A730">
        <f t="shared" si="151"/>
        <v>33</v>
      </c>
      <c r="B730">
        <f t="shared" si="156"/>
        <v>2050</v>
      </c>
      <c r="C730" s="27">
        <f>'Environmental Protection'!C176</f>
        <v>7569969.5854252428</v>
      </c>
      <c r="D730" s="198">
        <f t="shared" si="154"/>
        <v>432569.69059572817</v>
      </c>
      <c r="E730" s="465">
        <f t="shared" si="152"/>
        <v>7.140930211562452</v>
      </c>
      <c r="F730" s="2">
        <f t="shared" si="155"/>
        <v>3088949.9721812578</v>
      </c>
      <c r="G730" s="2">
        <f t="shared" si="153"/>
        <v>8472918.6157009657</v>
      </c>
    </row>
    <row r="731" spans="1:7" x14ac:dyDescent="0.25">
      <c r="A731">
        <f t="shared" si="151"/>
        <v>34</v>
      </c>
      <c r="B731">
        <f t="shared" si="156"/>
        <v>2051</v>
      </c>
      <c r="C731" s="27">
        <f>'Environmental Protection'!C177</f>
        <v>8012601.2920600027</v>
      </c>
      <c r="D731" s="198">
        <f t="shared" si="154"/>
        <v>457862.9309748573</v>
      </c>
      <c r="E731" s="465">
        <f t="shared" si="152"/>
        <v>7.3244753867013372</v>
      </c>
      <c r="F731" s="2">
        <f t="shared" si="155"/>
        <v>3353605.7684082757</v>
      </c>
      <c r="G731" s="2">
        <f t="shared" si="153"/>
        <v>9198863.3680601586</v>
      </c>
    </row>
    <row r="732" spans="1:7" x14ac:dyDescent="0.25">
      <c r="A732">
        <f t="shared" si="151"/>
        <v>35</v>
      </c>
      <c r="B732">
        <f t="shared" si="156"/>
        <v>2052</v>
      </c>
      <c r="C732" s="27">
        <f>'Environmental Protection'!C178</f>
        <v>8446659.4137862585</v>
      </c>
      <c r="D732" s="198">
        <f t="shared" si="154"/>
        <v>482666.25221635762</v>
      </c>
      <c r="E732" s="465">
        <f t="shared" si="152"/>
        <v>7.512738270922747</v>
      </c>
      <c r="F732" s="2">
        <f t="shared" si="155"/>
        <v>3626145.2251086812</v>
      </c>
      <c r="G732" s="2">
        <f t="shared" si="153"/>
        <v>9946432.8194874506</v>
      </c>
    </row>
    <row r="733" spans="1:7" x14ac:dyDescent="0.25">
      <c r="A733">
        <f t="shared" si="151"/>
        <v>36</v>
      </c>
      <c r="B733">
        <f t="shared" si="156"/>
        <v>2053</v>
      </c>
      <c r="C733" s="27">
        <f>'Environmental Protection'!C179</f>
        <v>8872082.5794552043</v>
      </c>
      <c r="D733" s="198">
        <f t="shared" si="154"/>
        <v>506976.14739744022</v>
      </c>
      <c r="E733" s="465">
        <f t="shared" si="152"/>
        <v>7.7058401247227453</v>
      </c>
      <c r="F733" s="2">
        <f t="shared" si="155"/>
        <v>3906677.1388925477</v>
      </c>
      <c r="G733" s="2">
        <f t="shared" si="153"/>
        <v>10715925.396578003</v>
      </c>
    </row>
    <row r="734" spans="1:7" x14ac:dyDescent="0.25">
      <c r="A734">
        <f t="shared" si="151"/>
        <v>37</v>
      </c>
      <c r="B734">
        <f t="shared" si="156"/>
        <v>2054</v>
      </c>
      <c r="C734" s="27">
        <f>'Environmental Protection'!C180</f>
        <v>9358810.6212807707</v>
      </c>
      <c r="D734" s="198">
        <f t="shared" si="154"/>
        <v>534789.17835890118</v>
      </c>
      <c r="E734" s="465">
        <f t="shared" si="152"/>
        <v>7.90390532538727</v>
      </c>
      <c r="F734" s="2">
        <f t="shared" si="155"/>
        <v>4226923.0347904013</v>
      </c>
      <c r="G734" s="2">
        <f t="shared" si="153"/>
        <v>11594352.511743834</v>
      </c>
    </row>
    <row r="735" spans="1:7" x14ac:dyDescent="0.25">
      <c r="A735">
        <f t="shared" si="151"/>
        <v>38</v>
      </c>
      <c r="B735">
        <f t="shared" si="156"/>
        <v>2055</v>
      </c>
      <c r="C735" s="27">
        <f>'Environmental Protection'!C181</f>
        <v>9836784.6524454784</v>
      </c>
      <c r="D735" s="198">
        <f t="shared" si="154"/>
        <v>562101.98013974167</v>
      </c>
      <c r="E735" s="465">
        <f t="shared" si="152"/>
        <v>8.1070614471037921</v>
      </c>
      <c r="F735" s="2">
        <f t="shared" si="155"/>
        <v>4556995.2925316012</v>
      </c>
      <c r="G735" s="2">
        <f t="shared" si="153"/>
        <v>12499733.1110829</v>
      </c>
    </row>
    <row r="736" spans="1:7" x14ac:dyDescent="0.25">
      <c r="A736">
        <f t="shared" si="151"/>
        <v>39</v>
      </c>
      <c r="B736">
        <f t="shared" si="156"/>
        <v>2056</v>
      </c>
      <c r="C736" s="27">
        <f>'Environmental Protection'!C182</f>
        <v>10375947.147435106</v>
      </c>
      <c r="D736" s="198">
        <f t="shared" si="154"/>
        <v>592911.2655677204</v>
      </c>
      <c r="E736" s="465">
        <f t="shared" si="152"/>
        <v>8.3154393431321001</v>
      </c>
      <c r="F736" s="2">
        <f t="shared" si="155"/>
        <v>4930317.6646880675</v>
      </c>
      <c r="G736" s="2">
        <f t="shared" si="153"/>
        <v>13523747.777940234</v>
      </c>
    </row>
    <row r="737" spans="1:7" x14ac:dyDescent="0.25">
      <c r="A737">
        <f t="shared" si="151"/>
        <v>40</v>
      </c>
      <c r="B737">
        <f t="shared" si="156"/>
        <v>2057</v>
      </c>
      <c r="C737" s="27">
        <f>'Environmental Protection'!C183</f>
        <v>10601402.037531247</v>
      </c>
      <c r="D737" s="198">
        <f t="shared" si="154"/>
        <v>605794.40214464266</v>
      </c>
      <c r="E737" s="465">
        <f t="shared" si="152"/>
        <v>8.5291732300871459</v>
      </c>
      <c r="F737" s="2">
        <f t="shared" si="155"/>
        <v>5166925.3977087336</v>
      </c>
      <c r="G737" s="2">
        <f t="shared" si="153"/>
        <v>14172757.339048132</v>
      </c>
    </row>
    <row r="738" spans="1:7" x14ac:dyDescent="0.25">
      <c r="C738" s="27"/>
      <c r="D738" s="198"/>
      <c r="E738" s="465"/>
      <c r="F738" s="2"/>
      <c r="G738" s="300"/>
    </row>
    <row r="739" spans="1:7" x14ac:dyDescent="0.25">
      <c r="B739" s="1" t="s">
        <v>3</v>
      </c>
      <c r="C739" s="57"/>
      <c r="D739" s="272"/>
      <c r="E739" s="273"/>
      <c r="F739" s="95">
        <f>SUM(F698:F738)</f>
        <v>61165101.653200239</v>
      </c>
      <c r="G739" s="95">
        <f>SUM(G698:G738)</f>
        <v>167774464.8168202</v>
      </c>
    </row>
    <row r="740" spans="1:7" x14ac:dyDescent="0.25">
      <c r="B740" s="18"/>
      <c r="C740" s="19"/>
      <c r="D740" s="146"/>
      <c r="E740" s="159"/>
    </row>
    <row r="741" spans="1:7" x14ac:dyDescent="0.25">
      <c r="A741" s="199" t="s">
        <v>234</v>
      </c>
      <c r="B741" s="200"/>
      <c r="D741" s="200"/>
    </row>
    <row r="742" spans="1:7" x14ac:dyDescent="0.25">
      <c r="A742" s="214" t="s">
        <v>235</v>
      </c>
      <c r="B742" s="200"/>
      <c r="D742" s="200"/>
    </row>
    <row r="743" spans="1:7" x14ac:dyDescent="0.25">
      <c r="A743" t="s">
        <v>236</v>
      </c>
      <c r="B743" s="200"/>
      <c r="D743" s="200"/>
    </row>
    <row r="744" spans="1:7" x14ac:dyDescent="0.25">
      <c r="A744" t="s">
        <v>237</v>
      </c>
      <c r="B744" s="200"/>
      <c r="D744" s="200"/>
    </row>
    <row r="745" spans="1:7" x14ac:dyDescent="0.25">
      <c r="B745" s="18"/>
      <c r="C745" s="19"/>
      <c r="D745" s="20"/>
    </row>
    <row r="746" spans="1:7" x14ac:dyDescent="0.25">
      <c r="B746" s="18"/>
      <c r="C746" s="19"/>
      <c r="D746" s="20"/>
    </row>
    <row r="747" spans="1:7" x14ac:dyDescent="0.25">
      <c r="A747" s="216" t="s">
        <v>388</v>
      </c>
      <c r="B747" s="18"/>
      <c r="C747" s="19"/>
      <c r="D747" s="20"/>
    </row>
    <row r="748" spans="1:7" x14ac:dyDescent="0.25">
      <c r="A748" t="s">
        <v>389</v>
      </c>
      <c r="B748" s="466">
        <f>E48</f>
        <v>2.5703258497288287E-2</v>
      </c>
      <c r="C748" s="19"/>
      <c r="D748" s="20"/>
    </row>
    <row r="749" spans="1:7" x14ac:dyDescent="0.25">
      <c r="B749" s="18"/>
      <c r="C749" s="19"/>
      <c r="D749" s="20"/>
    </row>
    <row r="750" spans="1:7" x14ac:dyDescent="0.25">
      <c r="B750" s="18"/>
      <c r="C750" s="19"/>
      <c r="D750" s="20"/>
    </row>
    <row r="751" spans="1:7" x14ac:dyDescent="0.25">
      <c r="A751" s="1" t="s">
        <v>464</v>
      </c>
      <c r="B751" s="18"/>
      <c r="C751" s="19"/>
      <c r="D751" s="20"/>
    </row>
    <row r="752" spans="1:7" ht="30" x14ac:dyDescent="0.25">
      <c r="A752" t="s">
        <v>482</v>
      </c>
      <c r="B752" s="549">
        <v>324</v>
      </c>
      <c r="C752" s="577" t="s">
        <v>483</v>
      </c>
      <c r="D752" s="20"/>
    </row>
    <row r="753" spans="1:4" x14ac:dyDescent="0.25">
      <c r="B753" s="18"/>
      <c r="C753" s="19"/>
      <c r="D753" s="20"/>
    </row>
    <row r="754" spans="1:4" ht="30" x14ac:dyDescent="0.25">
      <c r="A754" s="16" t="s">
        <v>0</v>
      </c>
      <c r="B754" s="552" t="s">
        <v>0</v>
      </c>
      <c r="C754" s="550" t="s">
        <v>465</v>
      </c>
      <c r="D754" s="551" t="s">
        <v>466</v>
      </c>
    </row>
    <row r="755" spans="1:4" x14ac:dyDescent="0.25">
      <c r="A755">
        <v>1</v>
      </c>
      <c r="B755" s="554">
        <v>2018</v>
      </c>
      <c r="C755" s="198">
        <f>Ridership!B$13</f>
        <v>0</v>
      </c>
      <c r="D755" s="555">
        <f>C755*$B$752</f>
        <v>0</v>
      </c>
    </row>
    <row r="756" spans="1:4" x14ac:dyDescent="0.25">
      <c r="A756">
        <f>A755+1</f>
        <v>2</v>
      </c>
      <c r="B756" s="553">
        <f>B755+1</f>
        <v>2019</v>
      </c>
      <c r="C756" s="198">
        <f>Ridership!C$13</f>
        <v>0</v>
      </c>
      <c r="D756" s="555">
        <f>C756*(($B$752*((1+$B$748)^A755)))</f>
        <v>0</v>
      </c>
    </row>
    <row r="757" spans="1:4" x14ac:dyDescent="0.25">
      <c r="A757">
        <f t="shared" ref="A757:A794" si="157">A756+1</f>
        <v>3</v>
      </c>
      <c r="B757" s="553">
        <f t="shared" ref="B757:B794" si="158">B756+1</f>
        <v>2020</v>
      </c>
      <c r="C757" s="198">
        <f>Ridership!D$13</f>
        <v>0</v>
      </c>
      <c r="D757" s="555">
        <f t="shared" ref="D757:D794" si="159">C757*(($B$752*((1+$B$748)^A756)))</f>
        <v>0</v>
      </c>
    </row>
    <row r="758" spans="1:4" x14ac:dyDescent="0.25">
      <c r="A758">
        <f t="shared" si="157"/>
        <v>4</v>
      </c>
      <c r="B758" s="553">
        <f t="shared" si="158"/>
        <v>2021</v>
      </c>
      <c r="C758" s="198">
        <f>Ridership!E$13</f>
        <v>0</v>
      </c>
      <c r="D758" s="555">
        <f t="shared" si="159"/>
        <v>0</v>
      </c>
    </row>
    <row r="759" spans="1:4" x14ac:dyDescent="0.25">
      <c r="A759">
        <f t="shared" si="157"/>
        <v>5</v>
      </c>
      <c r="B759" s="553">
        <f t="shared" si="158"/>
        <v>2022</v>
      </c>
      <c r="C759" s="198">
        <f>Ridership!F$13</f>
        <v>43.759891099052766</v>
      </c>
      <c r="D759" s="555">
        <f t="shared" si="159"/>
        <v>15693.079814518933</v>
      </c>
    </row>
    <row r="760" spans="1:4" x14ac:dyDescent="0.25">
      <c r="A760">
        <f t="shared" si="157"/>
        <v>6</v>
      </c>
      <c r="B760" s="553">
        <f t="shared" si="158"/>
        <v>2023</v>
      </c>
      <c r="C760" s="198">
        <f>Ridership!G$13</f>
        <v>124.4157830750064</v>
      </c>
      <c r="D760" s="555">
        <f t="shared" si="159"/>
        <v>45764.546549624618</v>
      </c>
    </row>
    <row r="761" spans="1:4" x14ac:dyDescent="0.25">
      <c r="A761">
        <f t="shared" si="157"/>
        <v>7</v>
      </c>
      <c r="B761" s="553">
        <f t="shared" si="158"/>
        <v>2024</v>
      </c>
      <c r="C761" s="198">
        <f>Ridership!H$13</f>
        <v>201.83786960745056</v>
      </c>
      <c r="D761" s="555">
        <f t="shared" si="159"/>
        <v>76151.432087189052</v>
      </c>
    </row>
    <row r="762" spans="1:4" x14ac:dyDescent="0.25">
      <c r="A762">
        <f t="shared" si="157"/>
        <v>8</v>
      </c>
      <c r="B762" s="553">
        <f t="shared" si="158"/>
        <v>2025</v>
      </c>
      <c r="C762" s="198">
        <f>Ridership!I$13</f>
        <v>275.99068627694032</v>
      </c>
      <c r="D762" s="555">
        <f t="shared" si="159"/>
        <v>106804.99967141396</v>
      </c>
    </row>
    <row r="763" spans="1:4" x14ac:dyDescent="0.25">
      <c r="A763">
        <f t="shared" si="157"/>
        <v>9</v>
      </c>
      <c r="B763" s="553">
        <f t="shared" si="158"/>
        <v>2026</v>
      </c>
      <c r="C763" s="198">
        <f>Ridership!J$13</f>
        <v>346.8387052666003</v>
      </c>
      <c r="D763" s="555">
        <f t="shared" si="159"/>
        <v>137672.26203620128</v>
      </c>
    </row>
    <row r="764" spans="1:4" x14ac:dyDescent="0.25">
      <c r="A764">
        <f t="shared" si="157"/>
        <v>10</v>
      </c>
      <c r="B764" s="553">
        <f t="shared" si="158"/>
        <v>2027</v>
      </c>
      <c r="C764" s="198">
        <f>Ridership!K$13</f>
        <v>448.592923681721</v>
      </c>
      <c r="D764" s="555">
        <f t="shared" si="159"/>
        <v>182638.80022873357</v>
      </c>
    </row>
    <row r="765" spans="1:4" x14ac:dyDescent="0.25">
      <c r="A765">
        <f t="shared" si="157"/>
        <v>11</v>
      </c>
      <c r="B765" s="553">
        <f t="shared" si="158"/>
        <v>2028</v>
      </c>
      <c r="C765" s="198">
        <f>Ridership!L$13</f>
        <v>546.97115107248646</v>
      </c>
      <c r="D765" s="555">
        <f t="shared" si="159"/>
        <v>228416.13738945016</v>
      </c>
    </row>
    <row r="766" spans="1:4" x14ac:dyDescent="0.25">
      <c r="A766">
        <f t="shared" si="157"/>
        <v>12</v>
      </c>
      <c r="B766" s="553">
        <f t="shared" si="158"/>
        <v>2029</v>
      </c>
      <c r="C766" s="198">
        <f>Ridership!L$13</f>
        <v>546.97115107248646</v>
      </c>
      <c r="D766" s="555">
        <f t="shared" si="159"/>
        <v>234287.17641372335</v>
      </c>
    </row>
    <row r="767" spans="1:4" x14ac:dyDescent="0.25">
      <c r="A767">
        <f t="shared" si="157"/>
        <v>13</v>
      </c>
      <c r="B767" s="553">
        <f t="shared" si="158"/>
        <v>2030</v>
      </c>
      <c r="C767" s="198">
        <f>Ridership!N$13</f>
        <v>733.45707345955088</v>
      </c>
      <c r="D767" s="555">
        <f t="shared" si="159"/>
        <v>322240.80508544273</v>
      </c>
    </row>
    <row r="768" spans="1:4" x14ac:dyDescent="0.25">
      <c r="A768">
        <f t="shared" si="157"/>
        <v>14</v>
      </c>
      <c r="B768" s="553">
        <f t="shared" si="158"/>
        <v>2031</v>
      </c>
      <c r="C768" s="198">
        <f>Ridership!O$13</f>
        <v>821.49348423370611</v>
      </c>
      <c r="D768" s="555">
        <f t="shared" si="159"/>
        <v>370195.97368520859</v>
      </c>
    </row>
    <row r="769" spans="1:4" x14ac:dyDescent="0.25">
      <c r="A769">
        <f t="shared" si="157"/>
        <v>15</v>
      </c>
      <c r="B769" s="553">
        <f t="shared" si="158"/>
        <v>2032</v>
      </c>
      <c r="C769" s="198">
        <f>Ridership!P$13</f>
        <v>940.25794229371968</v>
      </c>
      <c r="D769" s="555">
        <f t="shared" si="159"/>
        <v>434606.59632276261</v>
      </c>
    </row>
    <row r="770" spans="1:4" x14ac:dyDescent="0.25">
      <c r="A770">
        <f t="shared" si="157"/>
        <v>16</v>
      </c>
      <c r="B770" s="553">
        <f t="shared" si="158"/>
        <v>2033</v>
      </c>
      <c r="C770" s="198">
        <f>Ridership!Q$13</f>
        <v>1055.4682974588577</v>
      </c>
      <c r="D770" s="555">
        <f t="shared" si="159"/>
        <v>500398.7675979365</v>
      </c>
    </row>
    <row r="771" spans="1:4" x14ac:dyDescent="0.25">
      <c r="A771">
        <f t="shared" si="157"/>
        <v>17</v>
      </c>
      <c r="B771" s="553">
        <f t="shared" si="158"/>
        <v>2034</v>
      </c>
      <c r="C771" s="198">
        <f>Ridership!R$13</f>
        <v>1167.0890324185166</v>
      </c>
      <c r="D771" s="555">
        <f t="shared" si="159"/>
        <v>567540.37303929066</v>
      </c>
    </row>
    <row r="772" spans="1:4" x14ac:dyDescent="0.25">
      <c r="A772">
        <f t="shared" si="157"/>
        <v>18</v>
      </c>
      <c r="B772" s="553">
        <f t="shared" si="158"/>
        <v>2035</v>
      </c>
      <c r="C772" s="198">
        <f>Ridership!S$13</f>
        <v>1275.0847054944206</v>
      </c>
      <c r="D772" s="555">
        <f t="shared" si="159"/>
        <v>635994.77119202574</v>
      </c>
    </row>
    <row r="773" spans="1:4" x14ac:dyDescent="0.25">
      <c r="A773">
        <f t="shared" si="157"/>
        <v>19</v>
      </c>
      <c r="B773" s="553">
        <f t="shared" si="158"/>
        <v>2036</v>
      </c>
      <c r="C773" s="198">
        <f>Ridership!T$13</f>
        <v>1413.6665448227977</v>
      </c>
      <c r="D773" s="555">
        <f t="shared" si="159"/>
        <v>723241.31004514568</v>
      </c>
    </row>
    <row r="774" spans="1:4" x14ac:dyDescent="0.25">
      <c r="A774">
        <f t="shared" si="157"/>
        <v>20</v>
      </c>
      <c r="B774" s="553">
        <f t="shared" si="158"/>
        <v>2037</v>
      </c>
      <c r="C774" s="198">
        <f>Ridership!U$13</f>
        <v>1548.5527419245518</v>
      </c>
      <c r="D774" s="555">
        <f t="shared" si="159"/>
        <v>812613.40190643072</v>
      </c>
    </row>
    <row r="775" spans="1:4" x14ac:dyDescent="0.25">
      <c r="A775">
        <f t="shared" si="157"/>
        <v>21</v>
      </c>
      <c r="B775" s="553">
        <f t="shared" si="158"/>
        <v>2038</v>
      </c>
      <c r="C775" s="198">
        <f>Ridership!V$13</f>
        <v>1679.7081981117444</v>
      </c>
      <c r="D775" s="555">
        <f t="shared" si="159"/>
        <v>904093.93562970078</v>
      </c>
    </row>
    <row r="776" spans="1:4" x14ac:dyDescent="0.25">
      <c r="A776">
        <f t="shared" si="157"/>
        <v>22</v>
      </c>
      <c r="B776" s="553">
        <f t="shared" si="158"/>
        <v>2039</v>
      </c>
      <c r="C776" s="198">
        <f>Ridership!W$13</f>
        <v>1807.0979703297417</v>
      </c>
      <c r="D776" s="555">
        <f t="shared" si="159"/>
        <v>997661.34972659044</v>
      </c>
    </row>
    <row r="777" spans="1:4" x14ac:dyDescent="0.25">
      <c r="A777">
        <f t="shared" si="157"/>
        <v>23</v>
      </c>
      <c r="B777" s="553">
        <f t="shared" si="158"/>
        <v>2040</v>
      </c>
      <c r="C777" s="198">
        <f>Ridership!X$13</f>
        <v>1964.9338685148396</v>
      </c>
      <c r="D777" s="555">
        <f t="shared" si="159"/>
        <v>1112682.1553368578</v>
      </c>
    </row>
    <row r="778" spans="1:4" x14ac:dyDescent="0.25">
      <c r="A778">
        <f t="shared" si="157"/>
        <v>24</v>
      </c>
      <c r="B778" s="553">
        <f t="shared" si="158"/>
        <v>2041</v>
      </c>
      <c r="C778" s="198">
        <f>Ridership!Y$13</f>
        <v>2118.9347524379773</v>
      </c>
      <c r="D778" s="555">
        <f t="shared" si="159"/>
        <v>1230729.1972914145</v>
      </c>
    </row>
    <row r="779" spans="1:4" x14ac:dyDescent="0.25">
      <c r="A779">
        <f t="shared" si="157"/>
        <v>25</v>
      </c>
      <c r="B779" s="553">
        <f t="shared" si="158"/>
        <v>2042</v>
      </c>
      <c r="C779" s="198">
        <f>Ridership!Z$13</f>
        <v>2269.0662814854913</v>
      </c>
      <c r="D779" s="555">
        <f t="shared" si="159"/>
        <v>1351804.3427170448</v>
      </c>
    </row>
    <row r="780" spans="1:4" x14ac:dyDescent="0.25">
      <c r="A780">
        <f t="shared" si="157"/>
        <v>26</v>
      </c>
      <c r="B780" s="553">
        <f t="shared" si="158"/>
        <v>2043</v>
      </c>
      <c r="C780" s="198">
        <f>Ridership!AA$13</f>
        <v>2415.294363979232</v>
      </c>
      <c r="D780" s="555">
        <f t="shared" si="159"/>
        <v>1475905.1842360704</v>
      </c>
    </row>
    <row r="781" spans="1:4" x14ac:dyDescent="0.25">
      <c r="A781">
        <f t="shared" si="157"/>
        <v>27</v>
      </c>
      <c r="B781" s="553">
        <f t="shared" si="158"/>
        <v>2044</v>
      </c>
      <c r="C781" s="198">
        <f>Ridership!AB$13</f>
        <v>2591.8317581185293</v>
      </c>
      <c r="D781" s="555">
        <f t="shared" si="159"/>
        <v>1624489.5895402723</v>
      </c>
    </row>
    <row r="782" spans="1:4" x14ac:dyDescent="0.25">
      <c r="A782">
        <f t="shared" si="157"/>
        <v>28</v>
      </c>
      <c r="B782" s="553">
        <f t="shared" si="158"/>
        <v>2045</v>
      </c>
      <c r="C782" s="198">
        <f>Ridership!AC$13</f>
        <v>2764.3983725177095</v>
      </c>
      <c r="D782" s="555">
        <f t="shared" si="159"/>
        <v>1777184.387459931</v>
      </c>
    </row>
    <row r="783" spans="1:4" x14ac:dyDescent="0.25">
      <c r="A783">
        <f t="shared" si="157"/>
        <v>29</v>
      </c>
      <c r="B783" s="553">
        <f t="shared" si="158"/>
        <v>2046</v>
      </c>
      <c r="C783" s="198">
        <f>Ridership!AD$13</f>
        <v>2932.9610197930415</v>
      </c>
      <c r="D783" s="555">
        <f t="shared" si="159"/>
        <v>1934015.2176678032</v>
      </c>
    </row>
    <row r="784" spans="1:4" x14ac:dyDescent="0.25">
      <c r="A784">
        <f t="shared" si="157"/>
        <v>30</v>
      </c>
      <c r="B784" s="553">
        <f t="shared" si="158"/>
        <v>2047</v>
      </c>
      <c r="C784" s="198">
        <f>Ridership!AE$13</f>
        <v>3131.7334451469978</v>
      </c>
      <c r="D784" s="555">
        <f t="shared" si="159"/>
        <v>2118166.6283369628</v>
      </c>
    </row>
    <row r="785" spans="1:4" x14ac:dyDescent="0.25">
      <c r="A785">
        <f t="shared" si="157"/>
        <v>31</v>
      </c>
      <c r="B785" s="553">
        <f t="shared" si="158"/>
        <v>2048</v>
      </c>
      <c r="C785" s="198">
        <f>Ridership!AF$13</f>
        <v>3326.4366299807443</v>
      </c>
      <c r="D785" s="555">
        <f t="shared" si="159"/>
        <v>2307683.9029090013</v>
      </c>
    </row>
    <row r="786" spans="1:4" x14ac:dyDescent="0.25">
      <c r="A786">
        <f t="shared" si="157"/>
        <v>32</v>
      </c>
      <c r="B786" s="553">
        <f t="shared" si="158"/>
        <v>2049</v>
      </c>
      <c r="C786" s="198">
        <f>Ridership!AG$13</f>
        <v>3517.0385486487539</v>
      </c>
      <c r="D786" s="555">
        <f t="shared" si="159"/>
        <v>2502625.8719743369</v>
      </c>
    </row>
    <row r="787" spans="1:4" x14ac:dyDescent="0.25">
      <c r="A787">
        <f t="shared" si="157"/>
        <v>33</v>
      </c>
      <c r="B787" s="553">
        <f t="shared" si="158"/>
        <v>2050</v>
      </c>
      <c r="C787" s="198">
        <f>Ridership!AH$13</f>
        <v>3703.5076249634258</v>
      </c>
      <c r="D787" s="555">
        <f t="shared" si="159"/>
        <v>2703048.1369288485</v>
      </c>
    </row>
    <row r="788" spans="1:4" x14ac:dyDescent="0.25">
      <c r="A788">
        <f t="shared" si="157"/>
        <v>34</v>
      </c>
      <c r="B788" s="553">
        <f t="shared" si="158"/>
        <v>2051</v>
      </c>
      <c r="C788" s="198">
        <f>Ridership!AI$13</f>
        <v>3920.0593405381624</v>
      </c>
      <c r="D788" s="555">
        <f t="shared" si="159"/>
        <v>2934640.5432033022</v>
      </c>
    </row>
    <row r="789" spans="1:4" x14ac:dyDescent="0.25">
      <c r="A789">
        <f t="shared" si="157"/>
        <v>35</v>
      </c>
      <c r="B789" s="553">
        <f t="shared" si="158"/>
        <v>2052</v>
      </c>
      <c r="C789" s="198">
        <f>Ridership!AJ$13</f>
        <v>4132.4165429482673</v>
      </c>
      <c r="D789" s="555">
        <f t="shared" si="159"/>
        <v>3173131.7059958866</v>
      </c>
    </row>
    <row r="790" spans="1:4" x14ac:dyDescent="0.25">
      <c r="A790">
        <f t="shared" si="157"/>
        <v>36</v>
      </c>
      <c r="B790" s="553">
        <f t="shared" si="158"/>
        <v>2053</v>
      </c>
      <c r="C790" s="198">
        <f>Ridership!AK$13</f>
        <v>4340.5492071698645</v>
      </c>
      <c r="D790" s="555">
        <f t="shared" si="159"/>
        <v>3418616.8299802989</v>
      </c>
    </row>
    <row r="791" spans="1:4" x14ac:dyDescent="0.25">
      <c r="A791">
        <f t="shared" si="157"/>
        <v>37</v>
      </c>
      <c r="B791" s="553">
        <f t="shared" si="158"/>
        <v>2054</v>
      </c>
      <c r="C791" s="198">
        <f>Ridership!AL$13</f>
        <v>4578.6744722508665</v>
      </c>
      <c r="D791" s="555">
        <f t="shared" si="159"/>
        <v>3698854.4770971718</v>
      </c>
    </row>
    <row r="792" spans="1:4" x14ac:dyDescent="0.25">
      <c r="A792">
        <f t="shared" si="157"/>
        <v>38</v>
      </c>
      <c r="B792" s="553">
        <f t="shared" si="158"/>
        <v>2055</v>
      </c>
      <c r="C792" s="198">
        <f>Ridership!AM$13</f>
        <v>4812.5169532512118</v>
      </c>
      <c r="D792" s="555">
        <f t="shared" si="159"/>
        <v>3987690.8808506518</v>
      </c>
    </row>
    <row r="793" spans="1:4" x14ac:dyDescent="0.25">
      <c r="A793">
        <f t="shared" si="157"/>
        <v>39</v>
      </c>
      <c r="B793" s="553">
        <f t="shared" si="158"/>
        <v>2056</v>
      </c>
      <c r="C793" s="198">
        <f>Ridership!AN$13</f>
        <v>5076.2950819154139</v>
      </c>
      <c r="D793" s="555">
        <f t="shared" si="159"/>
        <v>4314374.1718133781</v>
      </c>
    </row>
    <row r="794" spans="1:4" x14ac:dyDescent="0.25">
      <c r="A794">
        <f t="shared" si="157"/>
        <v>40</v>
      </c>
      <c r="B794" s="553">
        <f t="shared" si="158"/>
        <v>2057</v>
      </c>
      <c r="C794" s="198">
        <f>Ridership!AO$13</f>
        <v>5186.595908772626</v>
      </c>
      <c r="D794" s="555">
        <f t="shared" si="159"/>
        <v>4521422.5532000307</v>
      </c>
    </row>
    <row r="795" spans="1:4" x14ac:dyDescent="0.25">
      <c r="B795" s="217"/>
      <c r="C795" s="198"/>
      <c r="D795" s="20"/>
    </row>
    <row r="796" spans="1:4" x14ac:dyDescent="0.25">
      <c r="B796" s="217"/>
      <c r="C796" s="198"/>
      <c r="D796" s="20"/>
    </row>
    <row r="797" spans="1:4" x14ac:dyDescent="0.25">
      <c r="A797" s="57" t="s">
        <v>436</v>
      </c>
      <c r="C797" s="19"/>
      <c r="D797" s="20"/>
    </row>
    <row r="798" spans="1:4" x14ac:dyDescent="0.25">
      <c r="A798" s="18" t="s">
        <v>431</v>
      </c>
      <c r="B798">
        <v>75</v>
      </c>
      <c r="C798" s="19" t="s">
        <v>470</v>
      </c>
      <c r="D798" s="20"/>
    </row>
    <row r="799" spans="1:4" x14ac:dyDescent="0.25">
      <c r="A799" t="s">
        <v>432</v>
      </c>
      <c r="B799" s="217">
        <v>40</v>
      </c>
      <c r="C799" s="19"/>
      <c r="D799" s="20"/>
    </row>
    <row r="800" spans="1:4" x14ac:dyDescent="0.25">
      <c r="A800" t="s">
        <v>433</v>
      </c>
      <c r="B800" s="217">
        <f>B798-B799</f>
        <v>35</v>
      </c>
      <c r="C800" s="19"/>
      <c r="D800" s="20"/>
    </row>
    <row r="801" spans="1:5" x14ac:dyDescent="0.25">
      <c r="A801" t="s">
        <v>434</v>
      </c>
      <c r="B801" s="532">
        <v>70000000</v>
      </c>
      <c r="C801" s="19"/>
      <c r="D801" s="20"/>
    </row>
    <row r="802" spans="1:5" x14ac:dyDescent="0.25">
      <c r="A802" t="s">
        <v>430</v>
      </c>
      <c r="B802" s="532">
        <f>((B798-B799)/B798)*B801</f>
        <v>32666666.666666668</v>
      </c>
      <c r="C802" s="19"/>
      <c r="D802" s="20"/>
    </row>
    <row r="803" spans="1:5" x14ac:dyDescent="0.25">
      <c r="B803" s="217"/>
      <c r="C803" s="19"/>
      <c r="D803" s="20"/>
    </row>
    <row r="804" spans="1:5" x14ac:dyDescent="0.25">
      <c r="B804" s="217"/>
      <c r="C804" s="19"/>
      <c r="D804" s="20"/>
    </row>
    <row r="805" spans="1:5" ht="30" x14ac:dyDescent="0.25">
      <c r="A805" s="1" t="s">
        <v>437</v>
      </c>
      <c r="B805" s="535" t="s">
        <v>0</v>
      </c>
      <c r="C805" s="272" t="s">
        <v>438</v>
      </c>
      <c r="D805" s="534" t="s">
        <v>440</v>
      </c>
      <c r="E805" s="16" t="s">
        <v>441</v>
      </c>
    </row>
    <row r="806" spans="1:5" x14ac:dyDescent="0.25">
      <c r="A806">
        <f>A567</f>
        <v>1</v>
      </c>
      <c r="B806">
        <f>B567</f>
        <v>2018</v>
      </c>
      <c r="C806">
        <f>C567</f>
        <v>0</v>
      </c>
      <c r="D806" s="20">
        <f>C806</f>
        <v>0</v>
      </c>
      <c r="E806" s="2">
        <f>D806*$B$848</f>
        <v>0</v>
      </c>
    </row>
    <row r="807" spans="1:5" x14ac:dyDescent="0.25">
      <c r="A807">
        <f t="shared" ref="A807:B845" si="160">A568</f>
        <v>2</v>
      </c>
      <c r="B807">
        <f t="shared" si="160"/>
        <v>2019</v>
      </c>
      <c r="C807">
        <f t="shared" ref="C807" si="161">C568</f>
        <v>0</v>
      </c>
      <c r="D807" s="20">
        <f>D806+C807</f>
        <v>0</v>
      </c>
      <c r="E807" s="2">
        <f t="shared" ref="E807:E845" si="162">D807*$B$848</f>
        <v>0</v>
      </c>
    </row>
    <row r="808" spans="1:5" x14ac:dyDescent="0.25">
      <c r="A808">
        <f t="shared" si="160"/>
        <v>3</v>
      </c>
      <c r="B808">
        <f t="shared" si="160"/>
        <v>2020</v>
      </c>
      <c r="C808">
        <f t="shared" ref="C808" si="163">C569</f>
        <v>3</v>
      </c>
      <c r="D808" s="20">
        <f t="shared" ref="D808:D845" si="164">D807+C808</f>
        <v>3</v>
      </c>
      <c r="E808" s="2">
        <f t="shared" si="162"/>
        <v>105000</v>
      </c>
    </row>
    <row r="809" spans="1:5" x14ac:dyDescent="0.25">
      <c r="A809">
        <f t="shared" si="160"/>
        <v>4</v>
      </c>
      <c r="B809">
        <f t="shared" si="160"/>
        <v>2021</v>
      </c>
      <c r="C809">
        <f t="shared" ref="C809" si="165">C570</f>
        <v>5</v>
      </c>
      <c r="D809" s="20">
        <f t="shared" si="164"/>
        <v>8</v>
      </c>
      <c r="E809" s="2">
        <f t="shared" si="162"/>
        <v>280000</v>
      </c>
    </row>
    <row r="810" spans="1:5" x14ac:dyDescent="0.25">
      <c r="A810">
        <f t="shared" si="160"/>
        <v>5</v>
      </c>
      <c r="B810">
        <f t="shared" si="160"/>
        <v>2022</v>
      </c>
      <c r="C810">
        <f t="shared" ref="C810" si="166">C571</f>
        <v>5</v>
      </c>
      <c r="D810" s="20">
        <f t="shared" si="164"/>
        <v>13</v>
      </c>
      <c r="E810" s="2">
        <f t="shared" si="162"/>
        <v>455000</v>
      </c>
    </row>
    <row r="811" spans="1:5" x14ac:dyDescent="0.25">
      <c r="A811">
        <f t="shared" si="160"/>
        <v>6</v>
      </c>
      <c r="B811">
        <f t="shared" si="160"/>
        <v>2023</v>
      </c>
      <c r="C811">
        <f t="shared" ref="C811" si="167">C572</f>
        <v>5</v>
      </c>
      <c r="D811" s="20">
        <f t="shared" si="164"/>
        <v>18</v>
      </c>
      <c r="E811" s="2">
        <f t="shared" si="162"/>
        <v>630000</v>
      </c>
    </row>
    <row r="812" spans="1:5" x14ac:dyDescent="0.25">
      <c r="A812">
        <f t="shared" si="160"/>
        <v>7</v>
      </c>
      <c r="B812">
        <f t="shared" si="160"/>
        <v>2024</v>
      </c>
      <c r="C812">
        <f t="shared" ref="C812" si="168">C573</f>
        <v>5</v>
      </c>
      <c r="D812" s="20">
        <f t="shared" si="164"/>
        <v>23</v>
      </c>
      <c r="E812" s="2">
        <f t="shared" si="162"/>
        <v>805000</v>
      </c>
    </row>
    <row r="813" spans="1:5" x14ac:dyDescent="0.25">
      <c r="A813">
        <f t="shared" si="160"/>
        <v>8</v>
      </c>
      <c r="B813">
        <f t="shared" si="160"/>
        <v>2025</v>
      </c>
      <c r="C813">
        <f t="shared" ref="C813" si="169">C574</f>
        <v>5</v>
      </c>
      <c r="D813" s="20">
        <f t="shared" si="164"/>
        <v>28</v>
      </c>
      <c r="E813" s="2">
        <f t="shared" si="162"/>
        <v>980000</v>
      </c>
    </row>
    <row r="814" spans="1:5" x14ac:dyDescent="0.25">
      <c r="A814">
        <f t="shared" si="160"/>
        <v>9</v>
      </c>
      <c r="B814">
        <f t="shared" si="160"/>
        <v>2026</v>
      </c>
      <c r="C814">
        <f t="shared" ref="C814" si="170">C575</f>
        <v>10</v>
      </c>
      <c r="D814" s="20">
        <f t="shared" si="164"/>
        <v>38</v>
      </c>
      <c r="E814" s="2">
        <f t="shared" si="162"/>
        <v>1330000</v>
      </c>
    </row>
    <row r="815" spans="1:5" x14ac:dyDescent="0.25">
      <c r="A815">
        <f t="shared" si="160"/>
        <v>10</v>
      </c>
      <c r="B815">
        <f t="shared" si="160"/>
        <v>2027</v>
      </c>
      <c r="C815">
        <f t="shared" ref="C815" si="171">C576</f>
        <v>10</v>
      </c>
      <c r="D815" s="20">
        <f t="shared" si="164"/>
        <v>48</v>
      </c>
      <c r="E815" s="2">
        <f t="shared" si="162"/>
        <v>1680000</v>
      </c>
    </row>
    <row r="816" spans="1:5" x14ac:dyDescent="0.25">
      <c r="A816">
        <f t="shared" si="160"/>
        <v>11</v>
      </c>
      <c r="B816">
        <f t="shared" si="160"/>
        <v>2028</v>
      </c>
      <c r="C816">
        <f t="shared" ref="C816" si="172">C577</f>
        <v>10</v>
      </c>
      <c r="D816" s="20">
        <f t="shared" si="164"/>
        <v>58</v>
      </c>
      <c r="E816" s="2">
        <f t="shared" si="162"/>
        <v>2030000</v>
      </c>
    </row>
    <row r="817" spans="1:5" x14ac:dyDescent="0.25">
      <c r="A817">
        <f t="shared" si="160"/>
        <v>12</v>
      </c>
      <c r="B817">
        <f t="shared" si="160"/>
        <v>2029</v>
      </c>
      <c r="C817">
        <f t="shared" ref="C817" si="173">C578</f>
        <v>15</v>
      </c>
      <c r="D817" s="20">
        <f t="shared" si="164"/>
        <v>73</v>
      </c>
      <c r="E817" s="2">
        <f t="shared" si="162"/>
        <v>2555000</v>
      </c>
    </row>
    <row r="818" spans="1:5" x14ac:dyDescent="0.25">
      <c r="A818">
        <f t="shared" si="160"/>
        <v>13</v>
      </c>
      <c r="B818">
        <f t="shared" si="160"/>
        <v>2030</v>
      </c>
      <c r="C818">
        <f t="shared" ref="C818" si="174">C579</f>
        <v>0</v>
      </c>
      <c r="D818" s="20">
        <f t="shared" si="164"/>
        <v>73</v>
      </c>
      <c r="E818" s="2">
        <f t="shared" si="162"/>
        <v>2555000</v>
      </c>
    </row>
    <row r="819" spans="1:5" x14ac:dyDescent="0.25">
      <c r="A819">
        <f t="shared" si="160"/>
        <v>14</v>
      </c>
      <c r="B819">
        <f t="shared" si="160"/>
        <v>2031</v>
      </c>
      <c r="C819">
        <f t="shared" ref="C819" si="175">C580</f>
        <v>0</v>
      </c>
      <c r="D819" s="20">
        <f t="shared" si="164"/>
        <v>73</v>
      </c>
      <c r="E819" s="2">
        <f t="shared" si="162"/>
        <v>2555000</v>
      </c>
    </row>
    <row r="820" spans="1:5" x14ac:dyDescent="0.25">
      <c r="A820">
        <f t="shared" si="160"/>
        <v>15</v>
      </c>
      <c r="B820">
        <f t="shared" si="160"/>
        <v>2032</v>
      </c>
      <c r="C820">
        <f t="shared" ref="C820" si="176">C581</f>
        <v>0</v>
      </c>
      <c r="D820" s="20">
        <f t="shared" si="164"/>
        <v>73</v>
      </c>
      <c r="E820" s="2">
        <f t="shared" si="162"/>
        <v>2555000</v>
      </c>
    </row>
    <row r="821" spans="1:5" x14ac:dyDescent="0.25">
      <c r="A821">
        <f t="shared" si="160"/>
        <v>16</v>
      </c>
      <c r="B821">
        <f t="shared" si="160"/>
        <v>2033</v>
      </c>
      <c r="C821">
        <f t="shared" ref="C821" si="177">C582</f>
        <v>0</v>
      </c>
      <c r="D821" s="20">
        <f t="shared" si="164"/>
        <v>73</v>
      </c>
      <c r="E821" s="2">
        <f t="shared" si="162"/>
        <v>2555000</v>
      </c>
    </row>
    <row r="822" spans="1:5" x14ac:dyDescent="0.25">
      <c r="A822">
        <f t="shared" si="160"/>
        <v>17</v>
      </c>
      <c r="B822">
        <f t="shared" si="160"/>
        <v>2034</v>
      </c>
      <c r="C822">
        <f t="shared" ref="C822" si="178">C583</f>
        <v>0</v>
      </c>
      <c r="D822" s="20">
        <f t="shared" si="164"/>
        <v>73</v>
      </c>
      <c r="E822" s="2">
        <f t="shared" si="162"/>
        <v>2555000</v>
      </c>
    </row>
    <row r="823" spans="1:5" x14ac:dyDescent="0.25">
      <c r="A823">
        <f t="shared" si="160"/>
        <v>18</v>
      </c>
      <c r="B823">
        <f t="shared" si="160"/>
        <v>2035</v>
      </c>
      <c r="C823">
        <f t="shared" ref="C823" si="179">C584</f>
        <v>0</v>
      </c>
      <c r="D823" s="20">
        <f t="shared" si="164"/>
        <v>73</v>
      </c>
      <c r="E823" s="2">
        <f t="shared" si="162"/>
        <v>2555000</v>
      </c>
    </row>
    <row r="824" spans="1:5" x14ac:dyDescent="0.25">
      <c r="A824">
        <f t="shared" si="160"/>
        <v>19</v>
      </c>
      <c r="B824">
        <f t="shared" si="160"/>
        <v>2036</v>
      </c>
      <c r="C824">
        <f t="shared" ref="C824" si="180">C585</f>
        <v>0</v>
      </c>
      <c r="D824" s="20">
        <f t="shared" si="164"/>
        <v>73</v>
      </c>
      <c r="E824" s="2">
        <f t="shared" si="162"/>
        <v>2555000</v>
      </c>
    </row>
    <row r="825" spans="1:5" x14ac:dyDescent="0.25">
      <c r="A825">
        <f t="shared" si="160"/>
        <v>20</v>
      </c>
      <c r="B825">
        <f t="shared" si="160"/>
        <v>2037</v>
      </c>
      <c r="C825">
        <f t="shared" ref="C825" si="181">C586</f>
        <v>0</v>
      </c>
      <c r="D825" s="20">
        <f t="shared" si="164"/>
        <v>73</v>
      </c>
      <c r="E825" s="2">
        <f t="shared" si="162"/>
        <v>2555000</v>
      </c>
    </row>
    <row r="826" spans="1:5" x14ac:dyDescent="0.25">
      <c r="A826">
        <f t="shared" si="160"/>
        <v>21</v>
      </c>
      <c r="B826">
        <f t="shared" si="160"/>
        <v>2038</v>
      </c>
      <c r="C826">
        <f t="shared" ref="C826" si="182">C587</f>
        <v>0</v>
      </c>
      <c r="D826" s="20">
        <f t="shared" si="164"/>
        <v>73</v>
      </c>
      <c r="E826" s="2">
        <f t="shared" si="162"/>
        <v>2555000</v>
      </c>
    </row>
    <row r="827" spans="1:5" x14ac:dyDescent="0.25">
      <c r="A827">
        <f t="shared" si="160"/>
        <v>22</v>
      </c>
      <c r="B827">
        <f t="shared" si="160"/>
        <v>2039</v>
      </c>
      <c r="C827">
        <f t="shared" ref="C827" si="183">C588</f>
        <v>0</v>
      </c>
      <c r="D827" s="20">
        <f t="shared" si="164"/>
        <v>73</v>
      </c>
      <c r="E827" s="2">
        <f t="shared" si="162"/>
        <v>2555000</v>
      </c>
    </row>
    <row r="828" spans="1:5" x14ac:dyDescent="0.25">
      <c r="A828">
        <f t="shared" si="160"/>
        <v>23</v>
      </c>
      <c r="B828">
        <f t="shared" si="160"/>
        <v>2040</v>
      </c>
      <c r="C828">
        <f t="shared" ref="C828" si="184">C589</f>
        <v>0</v>
      </c>
      <c r="D828" s="20">
        <f t="shared" si="164"/>
        <v>73</v>
      </c>
      <c r="E828" s="2">
        <f t="shared" si="162"/>
        <v>2555000</v>
      </c>
    </row>
    <row r="829" spans="1:5" x14ac:dyDescent="0.25">
      <c r="A829">
        <f t="shared" si="160"/>
        <v>24</v>
      </c>
      <c r="B829">
        <f t="shared" si="160"/>
        <v>2041</v>
      </c>
      <c r="C829">
        <f t="shared" ref="C829" si="185">C590</f>
        <v>0</v>
      </c>
      <c r="D829" s="20">
        <f t="shared" si="164"/>
        <v>73</v>
      </c>
      <c r="E829" s="2">
        <f t="shared" si="162"/>
        <v>2555000</v>
      </c>
    </row>
    <row r="830" spans="1:5" x14ac:dyDescent="0.25">
      <c r="A830">
        <f t="shared" si="160"/>
        <v>25</v>
      </c>
      <c r="B830">
        <f t="shared" si="160"/>
        <v>2042</v>
      </c>
      <c r="C830">
        <f t="shared" ref="C830" si="186">C591</f>
        <v>0</v>
      </c>
      <c r="D830" s="20">
        <f t="shared" si="164"/>
        <v>73</v>
      </c>
      <c r="E830" s="2">
        <f t="shared" si="162"/>
        <v>2555000</v>
      </c>
    </row>
    <row r="831" spans="1:5" x14ac:dyDescent="0.25">
      <c r="A831">
        <f t="shared" si="160"/>
        <v>26</v>
      </c>
      <c r="B831">
        <f t="shared" si="160"/>
        <v>2043</v>
      </c>
      <c r="C831">
        <f t="shared" ref="C831" si="187">C592</f>
        <v>0</v>
      </c>
      <c r="D831" s="20">
        <f t="shared" si="164"/>
        <v>73</v>
      </c>
      <c r="E831" s="2">
        <f t="shared" si="162"/>
        <v>2555000</v>
      </c>
    </row>
    <row r="832" spans="1:5" x14ac:dyDescent="0.25">
      <c r="A832">
        <f t="shared" si="160"/>
        <v>27</v>
      </c>
      <c r="B832">
        <f t="shared" si="160"/>
        <v>2044</v>
      </c>
      <c r="C832">
        <f t="shared" ref="C832" si="188">C593</f>
        <v>0</v>
      </c>
      <c r="D832" s="20">
        <f t="shared" si="164"/>
        <v>73</v>
      </c>
      <c r="E832" s="2">
        <f t="shared" si="162"/>
        <v>2555000</v>
      </c>
    </row>
    <row r="833" spans="1:5" x14ac:dyDescent="0.25">
      <c r="A833">
        <f t="shared" si="160"/>
        <v>28</v>
      </c>
      <c r="B833">
        <f t="shared" si="160"/>
        <v>2045</v>
      </c>
      <c r="C833">
        <f t="shared" ref="C833" si="189">C594</f>
        <v>0</v>
      </c>
      <c r="D833" s="20">
        <f t="shared" si="164"/>
        <v>73</v>
      </c>
      <c r="E833" s="2">
        <f t="shared" si="162"/>
        <v>2555000</v>
      </c>
    </row>
    <row r="834" spans="1:5" x14ac:dyDescent="0.25">
      <c r="A834">
        <f t="shared" si="160"/>
        <v>29</v>
      </c>
      <c r="B834">
        <f t="shared" si="160"/>
        <v>2046</v>
      </c>
      <c r="C834">
        <f t="shared" ref="C834" si="190">C595</f>
        <v>0</v>
      </c>
      <c r="D834" s="20">
        <f t="shared" si="164"/>
        <v>73</v>
      </c>
      <c r="E834" s="2">
        <f t="shared" si="162"/>
        <v>2555000</v>
      </c>
    </row>
    <row r="835" spans="1:5" x14ac:dyDescent="0.25">
      <c r="A835">
        <f t="shared" si="160"/>
        <v>30</v>
      </c>
      <c r="B835">
        <f t="shared" si="160"/>
        <v>2047</v>
      </c>
      <c r="C835">
        <f t="shared" ref="C835" si="191">C596</f>
        <v>0</v>
      </c>
      <c r="D835" s="20">
        <f t="shared" si="164"/>
        <v>73</v>
      </c>
      <c r="E835" s="2">
        <f t="shared" si="162"/>
        <v>2555000</v>
      </c>
    </row>
    <row r="836" spans="1:5" x14ac:dyDescent="0.25">
      <c r="A836">
        <f t="shared" si="160"/>
        <v>31</v>
      </c>
      <c r="B836">
        <f t="shared" si="160"/>
        <v>2048</v>
      </c>
      <c r="C836">
        <f t="shared" ref="C836" si="192">C597</f>
        <v>0</v>
      </c>
      <c r="D836" s="20">
        <f t="shared" si="164"/>
        <v>73</v>
      </c>
      <c r="E836" s="2">
        <f t="shared" si="162"/>
        <v>2555000</v>
      </c>
    </row>
    <row r="837" spans="1:5" x14ac:dyDescent="0.25">
      <c r="A837">
        <f t="shared" si="160"/>
        <v>32</v>
      </c>
      <c r="B837">
        <f t="shared" si="160"/>
        <v>2049</v>
      </c>
      <c r="C837">
        <f t="shared" ref="C837" si="193">C598</f>
        <v>0</v>
      </c>
      <c r="D837" s="20">
        <f t="shared" si="164"/>
        <v>73</v>
      </c>
      <c r="E837" s="2">
        <f t="shared" si="162"/>
        <v>2555000</v>
      </c>
    </row>
    <row r="838" spans="1:5" x14ac:dyDescent="0.25">
      <c r="A838">
        <f t="shared" si="160"/>
        <v>33</v>
      </c>
      <c r="B838">
        <f t="shared" si="160"/>
        <v>2050</v>
      </c>
      <c r="C838">
        <f t="shared" ref="C838" si="194">C599</f>
        <v>0</v>
      </c>
      <c r="D838" s="20">
        <f t="shared" si="164"/>
        <v>73</v>
      </c>
      <c r="E838" s="2">
        <f t="shared" si="162"/>
        <v>2555000</v>
      </c>
    </row>
    <row r="839" spans="1:5" x14ac:dyDescent="0.25">
      <c r="A839">
        <f t="shared" si="160"/>
        <v>34</v>
      </c>
      <c r="B839">
        <f t="shared" si="160"/>
        <v>2051</v>
      </c>
      <c r="C839">
        <f t="shared" ref="C839" si="195">C600</f>
        <v>0</v>
      </c>
      <c r="D839" s="20">
        <f t="shared" si="164"/>
        <v>73</v>
      </c>
      <c r="E839" s="2">
        <f t="shared" si="162"/>
        <v>2555000</v>
      </c>
    </row>
    <row r="840" spans="1:5" x14ac:dyDescent="0.25">
      <c r="A840">
        <f t="shared" si="160"/>
        <v>35</v>
      </c>
      <c r="B840">
        <f t="shared" si="160"/>
        <v>2052</v>
      </c>
      <c r="C840">
        <f t="shared" ref="C840" si="196">C601</f>
        <v>0</v>
      </c>
      <c r="D840" s="20">
        <f t="shared" si="164"/>
        <v>73</v>
      </c>
      <c r="E840" s="2">
        <f t="shared" si="162"/>
        <v>2555000</v>
      </c>
    </row>
    <row r="841" spans="1:5" x14ac:dyDescent="0.25">
      <c r="A841">
        <f t="shared" si="160"/>
        <v>36</v>
      </c>
      <c r="B841">
        <f t="shared" si="160"/>
        <v>2053</v>
      </c>
      <c r="C841">
        <f t="shared" ref="C841" si="197">C602</f>
        <v>0</v>
      </c>
      <c r="D841" s="20">
        <f t="shared" si="164"/>
        <v>73</v>
      </c>
      <c r="E841" s="2">
        <f t="shared" si="162"/>
        <v>2555000</v>
      </c>
    </row>
    <row r="842" spans="1:5" x14ac:dyDescent="0.25">
      <c r="A842">
        <f t="shared" si="160"/>
        <v>37</v>
      </c>
      <c r="B842">
        <f t="shared" si="160"/>
        <v>2054</v>
      </c>
      <c r="C842">
        <f t="shared" ref="C842" si="198">C603</f>
        <v>0</v>
      </c>
      <c r="D842" s="20">
        <f t="shared" si="164"/>
        <v>73</v>
      </c>
      <c r="E842" s="2">
        <f t="shared" si="162"/>
        <v>2555000</v>
      </c>
    </row>
    <row r="843" spans="1:5" x14ac:dyDescent="0.25">
      <c r="A843">
        <f t="shared" si="160"/>
        <v>38</v>
      </c>
      <c r="B843">
        <f t="shared" si="160"/>
        <v>2055</v>
      </c>
      <c r="C843">
        <f t="shared" ref="C843" si="199">C604</f>
        <v>0</v>
      </c>
      <c r="D843" s="20">
        <f t="shared" si="164"/>
        <v>73</v>
      </c>
      <c r="E843" s="2">
        <f t="shared" si="162"/>
        <v>2555000</v>
      </c>
    </row>
    <row r="844" spans="1:5" x14ac:dyDescent="0.25">
      <c r="A844">
        <f t="shared" si="160"/>
        <v>39</v>
      </c>
      <c r="B844">
        <f t="shared" si="160"/>
        <v>2056</v>
      </c>
      <c r="C844">
        <f t="shared" ref="C844" si="200">C605</f>
        <v>0</v>
      </c>
      <c r="D844" s="20">
        <f t="shared" si="164"/>
        <v>73</v>
      </c>
      <c r="E844" s="2">
        <f t="shared" si="162"/>
        <v>2555000</v>
      </c>
    </row>
    <row r="845" spans="1:5" x14ac:dyDescent="0.25">
      <c r="A845">
        <f t="shared" si="160"/>
        <v>40</v>
      </c>
      <c r="B845">
        <f t="shared" si="160"/>
        <v>2057</v>
      </c>
      <c r="C845">
        <f t="shared" ref="C845" si="201">C606</f>
        <v>0</v>
      </c>
      <c r="D845" s="20">
        <f t="shared" si="164"/>
        <v>73</v>
      </c>
      <c r="E845" s="2">
        <f t="shared" si="162"/>
        <v>2555000</v>
      </c>
    </row>
    <row r="848" spans="1:5" x14ac:dyDescent="0.25">
      <c r="A848" t="s">
        <v>439</v>
      </c>
      <c r="B848" s="2">
        <v>35000</v>
      </c>
    </row>
    <row r="849" spans="1:1" x14ac:dyDescent="0.25">
      <c r="A849" t="s">
        <v>484</v>
      </c>
    </row>
  </sheetData>
  <mergeCells count="6">
    <mergeCell ref="A158:E158"/>
    <mergeCell ref="A2:E2"/>
    <mergeCell ref="A666:D666"/>
    <mergeCell ref="A95:D96"/>
    <mergeCell ref="A112:E113"/>
    <mergeCell ref="A665:D665"/>
  </mergeCells>
  <hyperlinks>
    <hyperlink ref="A742" r:id="rId1"/>
    <hyperlink ref="A747" r:id="rId2"/>
  </hyperlinks>
  <pageMargins left="0.7" right="0.7" top="0.75" bottom="0.75" header="0.3" footer="0.3"/>
  <pageSetup paperSize="256" scale="46" fitToHeight="0" orientation="landscape" r:id="rId3"/>
  <headerFooter>
    <oddFooter>&amp;L&amp;A</oddFooter>
  </headerFooter>
  <rowBreaks count="4" manualBreakCount="4">
    <brk id="211" max="22" man="1"/>
    <brk id="329" max="22" man="1"/>
    <brk id="480" max="22" man="1"/>
    <brk id="685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6"/>
  <sheetViews>
    <sheetView topLeftCell="A196" zoomScale="80" zoomScaleNormal="80" zoomScaleSheetLayoutView="75" workbookViewId="0">
      <selection activeCell="E61" sqref="E61"/>
    </sheetView>
  </sheetViews>
  <sheetFormatPr defaultRowHeight="15" x14ac:dyDescent="0.25"/>
  <cols>
    <col min="1" max="1" width="19.5703125" customWidth="1"/>
    <col min="2" max="2" width="20" customWidth="1"/>
    <col min="3" max="3" width="21.140625" customWidth="1"/>
    <col min="4" max="22" width="16.42578125" customWidth="1"/>
    <col min="23" max="23" width="18" customWidth="1"/>
    <col min="24" max="24" width="17.7109375" customWidth="1"/>
  </cols>
  <sheetData>
    <row r="1" spans="1:26" s="64" customFormat="1" x14ac:dyDescent="0.25">
      <c r="A1" s="65" t="s">
        <v>354</v>
      </c>
    </row>
    <row r="2" spans="1:26" ht="63" customHeight="1" x14ac:dyDescent="0.25">
      <c r="B2" s="18" t="s">
        <v>10</v>
      </c>
      <c r="C2" s="19"/>
      <c r="D2" s="19"/>
      <c r="E2" s="19"/>
      <c r="F2" s="20"/>
      <c r="G2" s="1" t="s">
        <v>11</v>
      </c>
      <c r="O2" s="391" t="s">
        <v>180</v>
      </c>
      <c r="P2" s="103"/>
      <c r="Q2" s="392" t="s">
        <v>7</v>
      </c>
      <c r="R2" s="393" t="s">
        <v>355</v>
      </c>
      <c r="S2" s="68" t="s">
        <v>356</v>
      </c>
      <c r="T2" s="394" t="s">
        <v>357</v>
      </c>
      <c r="U2" s="395" t="s">
        <v>358</v>
      </c>
      <c r="V2" s="396" t="s">
        <v>359</v>
      </c>
      <c r="W2" s="16" t="s">
        <v>392</v>
      </c>
      <c r="X2" s="480" t="s">
        <v>319</v>
      </c>
    </row>
    <row r="3" spans="1:26" x14ac:dyDescent="0.25">
      <c r="B3" s="18"/>
      <c r="C3" s="19"/>
      <c r="D3" s="19"/>
      <c r="E3" s="19"/>
      <c r="F3" s="20"/>
      <c r="H3" s="23" t="s">
        <v>35</v>
      </c>
      <c r="I3" s="397">
        <f>'[1]Economic Competitiveness'!H270</f>
        <v>4.66</v>
      </c>
      <c r="J3" s="397"/>
      <c r="K3" s="397"/>
      <c r="L3" s="397"/>
      <c r="M3" s="397"/>
      <c r="N3" t="s">
        <v>36</v>
      </c>
      <c r="O3" s="398" t="s">
        <v>181</v>
      </c>
      <c r="P3" s="124" t="s">
        <v>182</v>
      </c>
      <c r="Q3" s="124">
        <v>5.13</v>
      </c>
      <c r="R3" s="124">
        <v>20.350000000000001</v>
      </c>
      <c r="S3" s="68">
        <v>2.42</v>
      </c>
      <c r="T3" s="399">
        <v>3.06</v>
      </c>
      <c r="U3" s="400" t="s">
        <v>209</v>
      </c>
      <c r="V3" s="401">
        <v>7877</v>
      </c>
      <c r="W3" s="2">
        <v>7377</v>
      </c>
      <c r="X3" s="384">
        <f>RATE(2,,-W3,V3)</f>
        <v>3.3333551974780565E-2</v>
      </c>
    </row>
    <row r="4" spans="1:26" x14ac:dyDescent="0.25">
      <c r="B4" s="18" t="s">
        <v>12</v>
      </c>
      <c r="C4" s="402">
        <f>'[1]Economic Competitiveness'!C271</f>
        <v>2.27</v>
      </c>
      <c r="D4" s="402"/>
      <c r="E4" s="402"/>
      <c r="F4" s="20"/>
      <c r="H4" s="23" t="s">
        <v>35</v>
      </c>
      <c r="I4" s="397">
        <f>'[1]Economic Competitiveness'!H271</f>
        <v>4.34</v>
      </c>
      <c r="J4" s="397"/>
      <c r="K4" s="397"/>
      <c r="L4" s="397"/>
      <c r="M4" s="397"/>
      <c r="N4" t="s">
        <v>7</v>
      </c>
      <c r="O4" s="398" t="s">
        <v>183</v>
      </c>
      <c r="P4" s="124" t="s">
        <v>182</v>
      </c>
      <c r="Q4" s="124">
        <v>0.129</v>
      </c>
      <c r="R4" s="124">
        <v>0.70399999999999996</v>
      </c>
      <c r="S4" s="68">
        <v>0.13300000000000001</v>
      </c>
      <c r="T4" s="399">
        <v>7.1999999999999995E-2</v>
      </c>
      <c r="U4" s="400" t="s">
        <v>210</v>
      </c>
      <c r="V4" s="401">
        <v>360383</v>
      </c>
      <c r="W4" s="2">
        <v>337459</v>
      </c>
      <c r="X4" s="384">
        <f>RATE(2,,-W4,V4)</f>
        <v>3.3407574651764332E-2</v>
      </c>
    </row>
    <row r="5" spans="1:26" x14ac:dyDescent="0.25">
      <c r="B5" s="18" t="s">
        <v>13</v>
      </c>
      <c r="C5" s="253">
        <f>'[1]Economic Competitiveness'!C274</f>
        <v>1.04</v>
      </c>
      <c r="D5" s="253"/>
      <c r="E5" s="253"/>
      <c r="F5" s="20"/>
      <c r="H5" s="23" t="s">
        <v>35</v>
      </c>
      <c r="I5" s="403">
        <f>'[1]Economic Competitiveness'!H272</f>
        <v>16.032</v>
      </c>
      <c r="J5" s="397"/>
      <c r="K5" s="397"/>
      <c r="L5" s="397"/>
      <c r="M5" s="397"/>
      <c r="N5" t="s">
        <v>356</v>
      </c>
      <c r="O5" s="398" t="s">
        <v>184</v>
      </c>
      <c r="P5" s="124" t="s">
        <v>182</v>
      </c>
      <c r="Q5" s="124">
        <v>4.8000000000000001E-2</v>
      </c>
      <c r="R5" s="124">
        <v>0.56200000000000006</v>
      </c>
      <c r="S5" s="68">
        <v>1.4E-2</v>
      </c>
      <c r="T5" s="399">
        <v>4.7E-2</v>
      </c>
      <c r="U5" s="400" t="s">
        <v>208</v>
      </c>
      <c r="V5" s="401">
        <v>1999</v>
      </c>
      <c r="W5" s="2">
        <v>1872</v>
      </c>
      <c r="X5" s="384">
        <f>RATE(2,,-W5,V5)</f>
        <v>3.3364350239565667E-2</v>
      </c>
    </row>
    <row r="6" spans="1:26" ht="18.75" x14ac:dyDescent="0.35">
      <c r="B6" s="18" t="s">
        <v>360</v>
      </c>
      <c r="C6" s="253">
        <f>'[1]Economic Competitiveness'!C272</f>
        <v>3.34</v>
      </c>
      <c r="D6" s="253"/>
      <c r="E6" s="253"/>
      <c r="F6" s="20"/>
      <c r="H6" s="23" t="s">
        <v>35</v>
      </c>
      <c r="I6" s="397">
        <f>'[1]Economic Competitiveness'!H273</f>
        <v>5.33</v>
      </c>
      <c r="J6" s="397"/>
      <c r="K6" s="397"/>
      <c r="L6" s="397"/>
      <c r="M6" s="397"/>
      <c r="N6" t="s">
        <v>361</v>
      </c>
      <c r="O6" s="404" t="s">
        <v>196</v>
      </c>
      <c r="P6" s="275" t="s">
        <v>182</v>
      </c>
      <c r="Q6" s="405">
        <v>1.2E-2</v>
      </c>
      <c r="R6" s="405">
        <v>9.9000000000000005E-2</v>
      </c>
      <c r="S6" s="406">
        <v>0.98099999999999998</v>
      </c>
      <c r="T6" s="407">
        <v>0.02</v>
      </c>
      <c r="U6" s="408" t="s">
        <v>211</v>
      </c>
      <c r="V6" s="409">
        <v>46561</v>
      </c>
      <c r="W6" s="2">
        <v>43600</v>
      </c>
      <c r="X6" s="384">
        <f>RATE(2,,-W6,V6)</f>
        <v>3.3398685908152898E-2</v>
      </c>
    </row>
    <row r="7" spans="1:26" hidden="1" x14ac:dyDescent="0.25">
      <c r="B7" s="18"/>
      <c r="C7" s="19"/>
      <c r="D7" s="19"/>
      <c r="E7" s="19"/>
      <c r="F7" s="20"/>
      <c r="H7" s="23" t="s">
        <v>37</v>
      </c>
      <c r="I7" s="410">
        <f>'[1]Economic Competitiveness'!H274</f>
        <v>36000</v>
      </c>
      <c r="J7" s="240"/>
      <c r="K7" s="240"/>
      <c r="L7" s="240"/>
      <c r="M7" s="240"/>
      <c r="N7" t="s">
        <v>14</v>
      </c>
    </row>
    <row r="8" spans="1:26" hidden="1" x14ac:dyDescent="0.25">
      <c r="A8" s="138" t="s">
        <v>185</v>
      </c>
      <c r="B8" s="18"/>
      <c r="C8" s="19"/>
      <c r="D8" s="19"/>
      <c r="E8" s="19"/>
      <c r="F8" s="20"/>
      <c r="H8" s="139" t="s">
        <v>186</v>
      </c>
      <c r="I8" s="139" t="s">
        <v>187</v>
      </c>
      <c r="J8" s="139"/>
      <c r="K8" s="139"/>
      <c r="L8" s="139"/>
      <c r="M8" s="139"/>
      <c r="N8" s="139" t="s">
        <v>188</v>
      </c>
      <c r="O8" s="139" t="s">
        <v>189</v>
      </c>
      <c r="P8" s="139" t="s">
        <v>7</v>
      </c>
      <c r="Q8" s="139" t="s">
        <v>36</v>
      </c>
      <c r="R8" s="139" t="s">
        <v>190</v>
      </c>
    </row>
    <row r="9" spans="1:26" hidden="1" x14ac:dyDescent="0.25">
      <c r="A9" s="140" t="s">
        <v>191</v>
      </c>
      <c r="B9" s="141" t="s">
        <v>21</v>
      </c>
      <c r="C9" s="142" t="s">
        <v>22</v>
      </c>
      <c r="D9" s="142"/>
      <c r="E9" s="142"/>
      <c r="F9" s="142" t="s">
        <v>23</v>
      </c>
      <c r="G9" s="142" t="s">
        <v>24</v>
      </c>
      <c r="H9" s="139" t="s">
        <v>14</v>
      </c>
      <c r="I9" s="139" t="s">
        <v>192</v>
      </c>
      <c r="J9" s="139"/>
      <c r="K9" s="139"/>
      <c r="L9" s="139"/>
      <c r="M9" s="139"/>
      <c r="N9" s="139" t="s">
        <v>192</v>
      </c>
      <c r="O9" s="139" t="s">
        <v>25</v>
      </c>
      <c r="P9" s="139" t="s">
        <v>193</v>
      </c>
      <c r="Q9" s="139" t="s">
        <v>193</v>
      </c>
      <c r="R9" s="139" t="s">
        <v>25</v>
      </c>
      <c r="S9" s="46"/>
      <c r="T9" s="46"/>
    </row>
    <row r="10" spans="1:26" hidden="1" x14ac:dyDescent="0.25">
      <c r="B10" s="24">
        <v>41438</v>
      </c>
      <c r="C10" s="20">
        <v>10</v>
      </c>
      <c r="D10" s="20"/>
      <c r="E10" s="20"/>
      <c r="F10" s="20">
        <f>C10</f>
        <v>10</v>
      </c>
      <c r="G10" s="25">
        <f t="shared" ref="G10:G32" si="0">(B11-B10)/365</f>
        <v>0.50136986301369868</v>
      </c>
      <c r="H10" s="116">
        <f t="shared" ref="H10:H32" si="1">F10*G10*I$7</f>
        <v>180493.15068493152</v>
      </c>
      <c r="I10" s="116">
        <f t="shared" ref="I10:I32" si="2">H10*(Q$3+Q$4+Q$5)/907200*2000/2240</f>
        <v>0.94273308638523923</v>
      </c>
      <c r="J10" s="116"/>
      <c r="K10" s="116"/>
      <c r="L10" s="116"/>
      <c r="M10" s="116"/>
      <c r="N10" s="116">
        <f t="shared" ref="N10:N32" si="3">H10*(R$3+R$4+R$5)/907200</f>
        <v>4.3006392694063935</v>
      </c>
      <c r="O10" s="116">
        <f t="shared" ref="O10:O32" si="4">N10-I10</f>
        <v>3.3579061830211545</v>
      </c>
      <c r="P10" s="101">
        <f t="shared" ref="P10:P33" si="5">H10*((Q$3*5300)+Q$4*290000+Q$5*1300)/907200*2000/2240</f>
        <v>11486.421931786414</v>
      </c>
      <c r="Q10" s="101">
        <f t="shared" ref="Q10:Q33" si="6">H10*((R$3*5300)+R$4*290000+R$5*1300)/907200*2000/2240</f>
        <v>55555.987326437418</v>
      </c>
      <c r="R10" s="101">
        <f t="shared" ref="R10:R32" si="7">Q10-P10</f>
        <v>44069.565394651006</v>
      </c>
      <c r="U10" s="46"/>
      <c r="V10" s="46"/>
      <c r="W10" s="46"/>
      <c r="X10" s="46"/>
      <c r="Y10" s="46"/>
      <c r="Z10" s="46"/>
    </row>
    <row r="11" spans="1:26" hidden="1" x14ac:dyDescent="0.25">
      <c r="B11" s="24">
        <v>41621</v>
      </c>
      <c r="C11" s="20">
        <v>14</v>
      </c>
      <c r="D11" s="20"/>
      <c r="E11" s="20"/>
      <c r="F11" s="20">
        <f t="shared" ref="F11:F32" si="8">F10+C11</f>
        <v>24</v>
      </c>
      <c r="G11" s="25">
        <f t="shared" si="0"/>
        <v>0.50136986301369868</v>
      </c>
      <c r="H11" s="116">
        <f t="shared" si="1"/>
        <v>433183.56164383568</v>
      </c>
      <c r="I11" s="116">
        <f t="shared" si="2"/>
        <v>2.2625594073245741</v>
      </c>
      <c r="J11" s="116"/>
      <c r="K11" s="116"/>
      <c r="L11" s="116"/>
      <c r="M11" s="116"/>
      <c r="N11" s="116">
        <f t="shared" si="3"/>
        <v>10.321534246575345</v>
      </c>
      <c r="O11" s="116">
        <f t="shared" si="4"/>
        <v>8.0589748392507712</v>
      </c>
      <c r="P11" s="101">
        <f t="shared" si="5"/>
        <v>27567.412636287394</v>
      </c>
      <c r="Q11" s="101">
        <f t="shared" si="6"/>
        <v>133334.36958344982</v>
      </c>
      <c r="R11" s="101">
        <f t="shared" si="7"/>
        <v>105766.95694716243</v>
      </c>
    </row>
    <row r="12" spans="1:26" hidden="1" x14ac:dyDescent="0.25">
      <c r="B12" s="24">
        <v>41804</v>
      </c>
      <c r="C12" s="20">
        <v>0</v>
      </c>
      <c r="D12" s="20"/>
      <c r="E12" s="20"/>
      <c r="F12" s="20">
        <f t="shared" si="8"/>
        <v>24</v>
      </c>
      <c r="G12" s="25">
        <f t="shared" si="0"/>
        <v>1.0027397260273974</v>
      </c>
      <c r="H12" s="116">
        <f t="shared" si="1"/>
        <v>866367.12328767136</v>
      </c>
      <c r="I12" s="116">
        <f t="shared" si="2"/>
        <v>4.5251188146491481</v>
      </c>
      <c r="J12" s="116"/>
      <c r="K12" s="116"/>
      <c r="L12" s="116"/>
      <c r="M12" s="116"/>
      <c r="N12" s="116">
        <f t="shared" si="3"/>
        <v>20.64306849315069</v>
      </c>
      <c r="O12" s="116">
        <f t="shared" si="4"/>
        <v>16.117949678501542</v>
      </c>
      <c r="P12" s="101">
        <f t="shared" si="5"/>
        <v>55134.825272574788</v>
      </c>
      <c r="Q12" s="101">
        <f t="shared" si="6"/>
        <v>266668.73916689964</v>
      </c>
      <c r="R12" s="101">
        <f t="shared" si="7"/>
        <v>211533.91389432485</v>
      </c>
    </row>
    <row r="13" spans="1:26" hidden="1" x14ac:dyDescent="0.25">
      <c r="A13" s="388">
        <v>1</v>
      </c>
      <c r="B13" s="24">
        <v>42170</v>
      </c>
      <c r="C13" s="19">
        <v>0</v>
      </c>
      <c r="D13" s="19"/>
      <c r="E13" s="19"/>
      <c r="F13" s="20">
        <f t="shared" si="8"/>
        <v>24</v>
      </c>
      <c r="G13" s="25">
        <f t="shared" si="0"/>
        <v>1.0027397260273974</v>
      </c>
      <c r="H13" s="116">
        <f t="shared" si="1"/>
        <v>866367.12328767136</v>
      </c>
      <c r="I13" s="116">
        <f t="shared" si="2"/>
        <v>4.5251188146491481</v>
      </c>
      <c r="J13" s="116"/>
      <c r="K13" s="116"/>
      <c r="L13" s="116"/>
      <c r="M13" s="116"/>
      <c r="N13" s="116">
        <f t="shared" si="3"/>
        <v>20.64306849315069</v>
      </c>
      <c r="O13" s="116">
        <f t="shared" si="4"/>
        <v>16.117949678501542</v>
      </c>
      <c r="P13" s="101">
        <f t="shared" si="5"/>
        <v>55134.825272574788</v>
      </c>
      <c r="Q13" s="101">
        <f t="shared" si="6"/>
        <v>266668.73916689964</v>
      </c>
      <c r="R13" s="101">
        <f t="shared" si="7"/>
        <v>211533.91389432485</v>
      </c>
    </row>
    <row r="14" spans="1:26" hidden="1" x14ac:dyDescent="0.25">
      <c r="A14" s="388">
        <v>2</v>
      </c>
      <c r="B14" s="24">
        <v>42536</v>
      </c>
      <c r="C14" s="19">
        <v>30</v>
      </c>
      <c r="D14" s="19"/>
      <c r="E14" s="19"/>
      <c r="F14" s="20">
        <f t="shared" si="8"/>
        <v>54</v>
      </c>
      <c r="G14" s="25">
        <f t="shared" si="0"/>
        <v>1.0027397260273974</v>
      </c>
      <c r="H14" s="116">
        <f t="shared" si="1"/>
        <v>1949326.0273972605</v>
      </c>
      <c r="I14" s="116">
        <f t="shared" si="2"/>
        <v>10.181517332960585</v>
      </c>
      <c r="J14" s="116"/>
      <c r="K14" s="116"/>
      <c r="L14" s="116"/>
      <c r="M14" s="116"/>
      <c r="N14" s="116">
        <f t="shared" si="3"/>
        <v>46.446904109589056</v>
      </c>
      <c r="O14" s="116">
        <f t="shared" si="4"/>
        <v>36.265386776628475</v>
      </c>
      <c r="P14" s="101">
        <f t="shared" si="5"/>
        <v>124053.35686329326</v>
      </c>
      <c r="Q14" s="101">
        <f t="shared" si="6"/>
        <v>600004.6631255243</v>
      </c>
      <c r="R14" s="101">
        <f t="shared" si="7"/>
        <v>475951.30626223102</v>
      </c>
    </row>
    <row r="15" spans="1:26" hidden="1" x14ac:dyDescent="0.25">
      <c r="A15" s="388">
        <v>3</v>
      </c>
      <c r="B15" s="24">
        <v>42902</v>
      </c>
      <c r="C15" s="19">
        <v>24</v>
      </c>
      <c r="D15" s="19"/>
      <c r="E15" s="19"/>
      <c r="F15" s="20">
        <f t="shared" si="8"/>
        <v>78</v>
      </c>
      <c r="G15" s="25">
        <f t="shared" si="0"/>
        <v>1.0027397260273974</v>
      </c>
      <c r="H15" s="116">
        <f t="shared" si="1"/>
        <v>2815693.1506849318</v>
      </c>
      <c r="I15" s="116">
        <f t="shared" si="2"/>
        <v>14.706636147609734</v>
      </c>
      <c r="J15" s="116"/>
      <c r="K15" s="116"/>
      <c r="L15" s="116"/>
      <c r="M15" s="116"/>
      <c r="N15" s="116">
        <f t="shared" si="3"/>
        <v>67.089972602739749</v>
      </c>
      <c r="O15" s="116">
        <f t="shared" si="4"/>
        <v>52.383336455130014</v>
      </c>
      <c r="P15" s="101">
        <f t="shared" si="5"/>
        <v>179188.18213586806</v>
      </c>
      <c r="Q15" s="101">
        <f t="shared" si="6"/>
        <v>866673.40229242388</v>
      </c>
      <c r="R15" s="101">
        <f t="shared" si="7"/>
        <v>687485.22015655576</v>
      </c>
    </row>
    <row r="16" spans="1:26" hidden="1" x14ac:dyDescent="0.25">
      <c r="A16" s="388">
        <v>4</v>
      </c>
      <c r="B16" s="24">
        <v>43268</v>
      </c>
      <c r="C16" s="19">
        <v>0</v>
      </c>
      <c r="D16" s="19"/>
      <c r="E16" s="19"/>
      <c r="F16" s="20">
        <f t="shared" si="8"/>
        <v>78</v>
      </c>
      <c r="G16" s="25">
        <f t="shared" si="0"/>
        <v>1.0027397260273974</v>
      </c>
      <c r="H16" s="116">
        <f t="shared" si="1"/>
        <v>2815693.1506849318</v>
      </c>
      <c r="I16" s="116">
        <f t="shared" si="2"/>
        <v>14.706636147609734</v>
      </c>
      <c r="J16" s="116"/>
      <c r="K16" s="116"/>
      <c r="L16" s="116"/>
      <c r="M16" s="116"/>
      <c r="N16" s="116">
        <f t="shared" si="3"/>
        <v>67.089972602739749</v>
      </c>
      <c r="O16" s="116">
        <f t="shared" si="4"/>
        <v>52.383336455130014</v>
      </c>
      <c r="P16" s="101">
        <f t="shared" si="5"/>
        <v>179188.18213586806</v>
      </c>
      <c r="Q16" s="101">
        <f t="shared" si="6"/>
        <v>866673.40229242388</v>
      </c>
      <c r="R16" s="101">
        <f t="shared" si="7"/>
        <v>687485.22015655576</v>
      </c>
    </row>
    <row r="17" spans="1:18" hidden="1" x14ac:dyDescent="0.25">
      <c r="A17" s="388">
        <v>5</v>
      </c>
      <c r="B17" s="24">
        <v>43634</v>
      </c>
      <c r="C17" s="19"/>
      <c r="D17" s="19"/>
      <c r="E17" s="19"/>
      <c r="F17" s="20">
        <f t="shared" si="8"/>
        <v>78</v>
      </c>
      <c r="G17" s="25">
        <f t="shared" si="0"/>
        <v>1.0027397260273974</v>
      </c>
      <c r="H17" s="116">
        <f t="shared" si="1"/>
        <v>2815693.1506849318</v>
      </c>
      <c r="I17" s="116">
        <f t="shared" si="2"/>
        <v>14.706636147609734</v>
      </c>
      <c r="J17" s="116"/>
      <c r="K17" s="116"/>
      <c r="L17" s="116"/>
      <c r="M17" s="116"/>
      <c r="N17" s="116">
        <f t="shared" si="3"/>
        <v>67.089972602739749</v>
      </c>
      <c r="O17" s="116">
        <f t="shared" si="4"/>
        <v>52.383336455130014</v>
      </c>
      <c r="P17" s="101">
        <f t="shared" si="5"/>
        <v>179188.18213586806</v>
      </c>
      <c r="Q17" s="101">
        <f t="shared" si="6"/>
        <v>866673.40229242388</v>
      </c>
      <c r="R17" s="101">
        <f t="shared" si="7"/>
        <v>687485.22015655576</v>
      </c>
    </row>
    <row r="18" spans="1:18" hidden="1" x14ac:dyDescent="0.25">
      <c r="A18" s="388">
        <v>6</v>
      </c>
      <c r="B18" s="24">
        <v>44000</v>
      </c>
      <c r="C18" s="19"/>
      <c r="D18" s="19"/>
      <c r="E18" s="19"/>
      <c r="F18" s="20">
        <f t="shared" si="8"/>
        <v>78</v>
      </c>
      <c r="G18" s="25">
        <f t="shared" si="0"/>
        <v>1.0027397260273974</v>
      </c>
      <c r="H18" s="116">
        <f t="shared" si="1"/>
        <v>2815693.1506849318</v>
      </c>
      <c r="I18" s="116">
        <f t="shared" si="2"/>
        <v>14.706636147609734</v>
      </c>
      <c r="J18" s="116"/>
      <c r="K18" s="116"/>
      <c r="L18" s="116"/>
      <c r="M18" s="116"/>
      <c r="N18" s="116">
        <f t="shared" si="3"/>
        <v>67.089972602739749</v>
      </c>
      <c r="O18" s="116">
        <f t="shared" si="4"/>
        <v>52.383336455130014</v>
      </c>
      <c r="P18" s="101">
        <f t="shared" si="5"/>
        <v>179188.18213586806</v>
      </c>
      <c r="Q18" s="101">
        <f t="shared" si="6"/>
        <v>866673.40229242388</v>
      </c>
      <c r="R18" s="101">
        <f t="shared" si="7"/>
        <v>687485.22015655576</v>
      </c>
    </row>
    <row r="19" spans="1:18" hidden="1" x14ac:dyDescent="0.25">
      <c r="A19" s="388">
        <v>7</v>
      </c>
      <c r="B19" s="24">
        <v>44366</v>
      </c>
      <c r="C19" s="19"/>
      <c r="D19" s="19"/>
      <c r="E19" s="19"/>
      <c r="F19" s="20">
        <f t="shared" si="8"/>
        <v>78</v>
      </c>
      <c r="G19" s="25">
        <f t="shared" si="0"/>
        <v>1.0027397260273974</v>
      </c>
      <c r="H19" s="116">
        <f t="shared" si="1"/>
        <v>2815693.1506849318</v>
      </c>
      <c r="I19" s="116">
        <f t="shared" si="2"/>
        <v>14.706636147609734</v>
      </c>
      <c r="J19" s="116"/>
      <c r="K19" s="116"/>
      <c r="L19" s="116"/>
      <c r="M19" s="116"/>
      <c r="N19" s="116">
        <f t="shared" si="3"/>
        <v>67.089972602739749</v>
      </c>
      <c r="O19" s="116">
        <f t="shared" si="4"/>
        <v>52.383336455130014</v>
      </c>
      <c r="P19" s="101">
        <f t="shared" si="5"/>
        <v>179188.18213586806</v>
      </c>
      <c r="Q19" s="101">
        <f t="shared" si="6"/>
        <v>866673.40229242388</v>
      </c>
      <c r="R19" s="101">
        <f t="shared" si="7"/>
        <v>687485.22015655576</v>
      </c>
    </row>
    <row r="20" spans="1:18" hidden="1" x14ac:dyDescent="0.25">
      <c r="A20" s="388">
        <v>8</v>
      </c>
      <c r="B20" s="24">
        <v>44732</v>
      </c>
      <c r="C20" s="19"/>
      <c r="D20" s="19"/>
      <c r="E20" s="19"/>
      <c r="F20" s="20">
        <f t="shared" si="8"/>
        <v>78</v>
      </c>
      <c r="G20" s="25">
        <f t="shared" si="0"/>
        <v>1.0027397260273974</v>
      </c>
      <c r="H20" s="116">
        <f t="shared" si="1"/>
        <v>2815693.1506849318</v>
      </c>
      <c r="I20" s="116">
        <f t="shared" si="2"/>
        <v>14.706636147609734</v>
      </c>
      <c r="J20" s="116"/>
      <c r="K20" s="116"/>
      <c r="L20" s="116"/>
      <c r="M20" s="116"/>
      <c r="N20" s="116">
        <f t="shared" si="3"/>
        <v>67.089972602739749</v>
      </c>
      <c r="O20" s="116">
        <f t="shared" si="4"/>
        <v>52.383336455130014</v>
      </c>
      <c r="P20" s="101">
        <f t="shared" si="5"/>
        <v>179188.18213586806</v>
      </c>
      <c r="Q20" s="101">
        <f t="shared" si="6"/>
        <v>866673.40229242388</v>
      </c>
      <c r="R20" s="101">
        <f t="shared" si="7"/>
        <v>687485.22015655576</v>
      </c>
    </row>
    <row r="21" spans="1:18" hidden="1" x14ac:dyDescent="0.25">
      <c r="A21" s="388">
        <v>9</v>
      </c>
      <c r="B21" s="24">
        <v>45098</v>
      </c>
      <c r="C21" s="19"/>
      <c r="D21" s="19"/>
      <c r="E21" s="19"/>
      <c r="F21" s="20">
        <f t="shared" si="8"/>
        <v>78</v>
      </c>
      <c r="G21" s="25">
        <f t="shared" si="0"/>
        <v>1.0027397260273974</v>
      </c>
      <c r="H21" s="116">
        <f t="shared" si="1"/>
        <v>2815693.1506849318</v>
      </c>
      <c r="I21" s="116">
        <f t="shared" si="2"/>
        <v>14.706636147609734</v>
      </c>
      <c r="J21" s="116"/>
      <c r="K21" s="116"/>
      <c r="L21" s="116"/>
      <c r="M21" s="116"/>
      <c r="N21" s="116">
        <f t="shared" si="3"/>
        <v>67.089972602739749</v>
      </c>
      <c r="O21" s="116">
        <f t="shared" si="4"/>
        <v>52.383336455130014</v>
      </c>
      <c r="P21" s="101">
        <f t="shared" si="5"/>
        <v>179188.18213586806</v>
      </c>
      <c r="Q21" s="101">
        <f t="shared" si="6"/>
        <v>866673.40229242388</v>
      </c>
      <c r="R21" s="101">
        <f t="shared" si="7"/>
        <v>687485.22015655576</v>
      </c>
    </row>
    <row r="22" spans="1:18" hidden="1" x14ac:dyDescent="0.25">
      <c r="A22" s="388">
        <v>10</v>
      </c>
      <c r="B22" s="24">
        <v>45464</v>
      </c>
      <c r="C22" s="19"/>
      <c r="D22" s="19"/>
      <c r="E22" s="19"/>
      <c r="F22" s="20">
        <f t="shared" si="8"/>
        <v>78</v>
      </c>
      <c r="G22" s="25">
        <f t="shared" si="0"/>
        <v>1.0027397260273974</v>
      </c>
      <c r="H22" s="116">
        <f t="shared" si="1"/>
        <v>2815693.1506849318</v>
      </c>
      <c r="I22" s="116">
        <f t="shared" si="2"/>
        <v>14.706636147609734</v>
      </c>
      <c r="J22" s="116"/>
      <c r="K22" s="116"/>
      <c r="L22" s="116"/>
      <c r="M22" s="116"/>
      <c r="N22" s="116">
        <f t="shared" si="3"/>
        <v>67.089972602739749</v>
      </c>
      <c r="O22" s="116">
        <f t="shared" si="4"/>
        <v>52.383336455130014</v>
      </c>
      <c r="P22" s="101">
        <f t="shared" si="5"/>
        <v>179188.18213586806</v>
      </c>
      <c r="Q22" s="101">
        <f t="shared" si="6"/>
        <v>866673.40229242388</v>
      </c>
      <c r="R22" s="101">
        <f t="shared" si="7"/>
        <v>687485.22015655576</v>
      </c>
    </row>
    <row r="23" spans="1:18" hidden="1" x14ac:dyDescent="0.25">
      <c r="A23" s="388">
        <v>11</v>
      </c>
      <c r="B23" s="24">
        <v>45830</v>
      </c>
      <c r="C23" s="19"/>
      <c r="D23" s="19"/>
      <c r="E23" s="19"/>
      <c r="F23" s="20">
        <f t="shared" si="8"/>
        <v>78</v>
      </c>
      <c r="G23" s="25">
        <f t="shared" si="0"/>
        <v>1.0027397260273974</v>
      </c>
      <c r="H23" s="116">
        <f t="shared" si="1"/>
        <v>2815693.1506849318</v>
      </c>
      <c r="I23" s="116">
        <f t="shared" si="2"/>
        <v>14.706636147609734</v>
      </c>
      <c r="J23" s="116"/>
      <c r="K23" s="116"/>
      <c r="L23" s="116"/>
      <c r="M23" s="116"/>
      <c r="N23" s="116">
        <f t="shared" si="3"/>
        <v>67.089972602739749</v>
      </c>
      <c r="O23" s="116">
        <f t="shared" si="4"/>
        <v>52.383336455130014</v>
      </c>
      <c r="P23" s="101">
        <f t="shared" si="5"/>
        <v>179188.18213586806</v>
      </c>
      <c r="Q23" s="101">
        <f t="shared" si="6"/>
        <v>866673.40229242388</v>
      </c>
      <c r="R23" s="101">
        <f t="shared" si="7"/>
        <v>687485.22015655576</v>
      </c>
    </row>
    <row r="24" spans="1:18" hidden="1" x14ac:dyDescent="0.25">
      <c r="A24" s="388">
        <v>12</v>
      </c>
      <c r="B24" s="24">
        <v>46196</v>
      </c>
      <c r="C24" s="19"/>
      <c r="D24" s="19"/>
      <c r="E24" s="19"/>
      <c r="F24" s="20">
        <f t="shared" si="8"/>
        <v>78</v>
      </c>
      <c r="G24" s="25">
        <f t="shared" si="0"/>
        <v>1.0027397260273974</v>
      </c>
      <c r="H24" s="116">
        <f t="shared" si="1"/>
        <v>2815693.1506849318</v>
      </c>
      <c r="I24" s="116">
        <f t="shared" si="2"/>
        <v>14.706636147609734</v>
      </c>
      <c r="J24" s="116"/>
      <c r="K24" s="116"/>
      <c r="L24" s="116"/>
      <c r="M24" s="116"/>
      <c r="N24" s="116">
        <f t="shared" si="3"/>
        <v>67.089972602739749</v>
      </c>
      <c r="O24" s="116">
        <f t="shared" si="4"/>
        <v>52.383336455130014</v>
      </c>
      <c r="P24" s="101">
        <f t="shared" si="5"/>
        <v>179188.18213586806</v>
      </c>
      <c r="Q24" s="101">
        <f t="shared" si="6"/>
        <v>866673.40229242388</v>
      </c>
      <c r="R24" s="101">
        <f t="shared" si="7"/>
        <v>687485.22015655576</v>
      </c>
    </row>
    <row r="25" spans="1:18" hidden="1" x14ac:dyDescent="0.25">
      <c r="A25" s="388">
        <v>13</v>
      </c>
      <c r="B25" s="24">
        <v>46562</v>
      </c>
      <c r="C25" s="19"/>
      <c r="D25" s="19"/>
      <c r="E25" s="19"/>
      <c r="F25" s="20">
        <f t="shared" si="8"/>
        <v>78</v>
      </c>
      <c r="G25" s="25">
        <f t="shared" si="0"/>
        <v>1.0027397260273974</v>
      </c>
      <c r="H25" s="116">
        <f t="shared" si="1"/>
        <v>2815693.1506849318</v>
      </c>
      <c r="I25" s="116">
        <f t="shared" si="2"/>
        <v>14.706636147609734</v>
      </c>
      <c r="J25" s="116"/>
      <c r="K25" s="116"/>
      <c r="L25" s="116"/>
      <c r="M25" s="116"/>
      <c r="N25" s="116">
        <f t="shared" si="3"/>
        <v>67.089972602739749</v>
      </c>
      <c r="O25" s="116">
        <f t="shared" si="4"/>
        <v>52.383336455130014</v>
      </c>
      <c r="P25" s="101">
        <f t="shared" si="5"/>
        <v>179188.18213586806</v>
      </c>
      <c r="Q25" s="101">
        <f t="shared" si="6"/>
        <v>866673.40229242388</v>
      </c>
      <c r="R25" s="101">
        <f t="shared" si="7"/>
        <v>687485.22015655576</v>
      </c>
    </row>
    <row r="26" spans="1:18" hidden="1" x14ac:dyDescent="0.25">
      <c r="A26" s="388">
        <v>14</v>
      </c>
      <c r="B26" s="24">
        <v>46928</v>
      </c>
      <c r="C26" s="19"/>
      <c r="D26" s="19"/>
      <c r="E26" s="19"/>
      <c r="F26" s="20">
        <f t="shared" si="8"/>
        <v>78</v>
      </c>
      <c r="G26" s="25">
        <f t="shared" si="0"/>
        <v>1.0027397260273974</v>
      </c>
      <c r="H26" s="116">
        <f t="shared" si="1"/>
        <v>2815693.1506849318</v>
      </c>
      <c r="I26" s="116">
        <f t="shared" si="2"/>
        <v>14.706636147609734</v>
      </c>
      <c r="J26" s="116"/>
      <c r="K26" s="116"/>
      <c r="L26" s="116"/>
      <c r="M26" s="116"/>
      <c r="N26" s="116">
        <f t="shared" si="3"/>
        <v>67.089972602739749</v>
      </c>
      <c r="O26" s="116">
        <f t="shared" si="4"/>
        <v>52.383336455130014</v>
      </c>
      <c r="P26" s="101">
        <f t="shared" si="5"/>
        <v>179188.18213586806</v>
      </c>
      <c r="Q26" s="101">
        <f t="shared" si="6"/>
        <v>866673.40229242388</v>
      </c>
      <c r="R26" s="101">
        <f t="shared" si="7"/>
        <v>687485.22015655576</v>
      </c>
    </row>
    <row r="27" spans="1:18" hidden="1" x14ac:dyDescent="0.25">
      <c r="A27" s="388">
        <v>15</v>
      </c>
      <c r="B27" s="24">
        <v>47294</v>
      </c>
      <c r="C27" s="19"/>
      <c r="D27" s="19"/>
      <c r="E27" s="19"/>
      <c r="F27" s="20">
        <f t="shared" si="8"/>
        <v>78</v>
      </c>
      <c r="G27" s="25">
        <f t="shared" si="0"/>
        <v>1.0027397260273974</v>
      </c>
      <c r="H27" s="116">
        <f t="shared" si="1"/>
        <v>2815693.1506849318</v>
      </c>
      <c r="I27" s="116">
        <f t="shared" si="2"/>
        <v>14.706636147609734</v>
      </c>
      <c r="J27" s="116"/>
      <c r="K27" s="116"/>
      <c r="L27" s="116"/>
      <c r="M27" s="116"/>
      <c r="N27" s="116">
        <f t="shared" si="3"/>
        <v>67.089972602739749</v>
      </c>
      <c r="O27" s="116">
        <f t="shared" si="4"/>
        <v>52.383336455130014</v>
      </c>
      <c r="P27" s="101">
        <f t="shared" si="5"/>
        <v>179188.18213586806</v>
      </c>
      <c r="Q27" s="101">
        <f t="shared" si="6"/>
        <v>866673.40229242388</v>
      </c>
      <c r="R27" s="101">
        <f t="shared" si="7"/>
        <v>687485.22015655576</v>
      </c>
    </row>
    <row r="28" spans="1:18" hidden="1" x14ac:dyDescent="0.25">
      <c r="A28" s="388">
        <v>16</v>
      </c>
      <c r="B28" s="24">
        <v>47660</v>
      </c>
      <c r="C28" s="19"/>
      <c r="D28" s="19"/>
      <c r="E28" s="19"/>
      <c r="F28" s="20">
        <f t="shared" si="8"/>
        <v>78</v>
      </c>
      <c r="G28" s="25">
        <f t="shared" si="0"/>
        <v>1.0027397260273974</v>
      </c>
      <c r="H28" s="116">
        <f t="shared" si="1"/>
        <v>2815693.1506849318</v>
      </c>
      <c r="I28" s="116">
        <f t="shared" si="2"/>
        <v>14.706636147609734</v>
      </c>
      <c r="J28" s="116"/>
      <c r="K28" s="116"/>
      <c r="L28" s="116"/>
      <c r="M28" s="116"/>
      <c r="N28" s="116">
        <f t="shared" si="3"/>
        <v>67.089972602739749</v>
      </c>
      <c r="O28" s="116">
        <f t="shared" si="4"/>
        <v>52.383336455130014</v>
      </c>
      <c r="P28" s="101">
        <f t="shared" si="5"/>
        <v>179188.18213586806</v>
      </c>
      <c r="Q28" s="101">
        <f t="shared" si="6"/>
        <v>866673.40229242388</v>
      </c>
      <c r="R28" s="101">
        <f t="shared" si="7"/>
        <v>687485.22015655576</v>
      </c>
    </row>
    <row r="29" spans="1:18" hidden="1" x14ac:dyDescent="0.25">
      <c r="A29" s="388">
        <v>17</v>
      </c>
      <c r="B29" s="24">
        <v>48026</v>
      </c>
      <c r="C29" s="19"/>
      <c r="D29" s="19"/>
      <c r="E29" s="19"/>
      <c r="F29" s="20">
        <f t="shared" si="8"/>
        <v>78</v>
      </c>
      <c r="G29" s="25">
        <f t="shared" si="0"/>
        <v>1.0027397260273974</v>
      </c>
      <c r="H29" s="116">
        <f t="shared" si="1"/>
        <v>2815693.1506849318</v>
      </c>
      <c r="I29" s="116">
        <f t="shared" si="2"/>
        <v>14.706636147609734</v>
      </c>
      <c r="J29" s="116"/>
      <c r="K29" s="116"/>
      <c r="L29" s="116"/>
      <c r="M29" s="116"/>
      <c r="N29" s="116">
        <f t="shared" si="3"/>
        <v>67.089972602739749</v>
      </c>
      <c r="O29" s="116">
        <f t="shared" si="4"/>
        <v>52.383336455130014</v>
      </c>
      <c r="P29" s="101">
        <f t="shared" si="5"/>
        <v>179188.18213586806</v>
      </c>
      <c r="Q29" s="101">
        <f t="shared" si="6"/>
        <v>866673.40229242388</v>
      </c>
      <c r="R29" s="101">
        <f t="shared" si="7"/>
        <v>687485.22015655576</v>
      </c>
    </row>
    <row r="30" spans="1:18" hidden="1" x14ac:dyDescent="0.25">
      <c r="A30" s="388">
        <v>18</v>
      </c>
      <c r="B30" s="24">
        <v>48392</v>
      </c>
      <c r="C30" s="19"/>
      <c r="D30" s="19"/>
      <c r="E30" s="19"/>
      <c r="F30" s="20">
        <f t="shared" si="8"/>
        <v>78</v>
      </c>
      <c r="G30" s="25">
        <f t="shared" si="0"/>
        <v>1.0027397260273974</v>
      </c>
      <c r="H30" s="116">
        <f t="shared" si="1"/>
        <v>2815693.1506849318</v>
      </c>
      <c r="I30" s="116">
        <f t="shared" si="2"/>
        <v>14.706636147609734</v>
      </c>
      <c r="J30" s="116"/>
      <c r="K30" s="116"/>
      <c r="L30" s="116"/>
      <c r="M30" s="116"/>
      <c r="N30" s="116">
        <f t="shared" si="3"/>
        <v>67.089972602739749</v>
      </c>
      <c r="O30" s="116">
        <f t="shared" si="4"/>
        <v>52.383336455130014</v>
      </c>
      <c r="P30" s="101">
        <f t="shared" si="5"/>
        <v>179188.18213586806</v>
      </c>
      <c r="Q30" s="101">
        <f t="shared" si="6"/>
        <v>866673.40229242388</v>
      </c>
      <c r="R30" s="101">
        <f t="shared" si="7"/>
        <v>687485.22015655576</v>
      </c>
    </row>
    <row r="31" spans="1:18" hidden="1" x14ac:dyDescent="0.25">
      <c r="A31" s="388">
        <v>19</v>
      </c>
      <c r="B31" s="24">
        <v>48758</v>
      </c>
      <c r="C31" s="19"/>
      <c r="D31" s="19"/>
      <c r="E31" s="19"/>
      <c r="F31" s="20">
        <f t="shared" si="8"/>
        <v>78</v>
      </c>
      <c r="G31" s="25">
        <f t="shared" si="0"/>
        <v>1.0027397260273974</v>
      </c>
      <c r="H31" s="116">
        <f t="shared" si="1"/>
        <v>2815693.1506849318</v>
      </c>
      <c r="I31" s="116">
        <f t="shared" si="2"/>
        <v>14.706636147609734</v>
      </c>
      <c r="J31" s="116"/>
      <c r="K31" s="116"/>
      <c r="L31" s="116"/>
      <c r="M31" s="116"/>
      <c r="N31" s="116">
        <f t="shared" si="3"/>
        <v>67.089972602739749</v>
      </c>
      <c r="O31" s="116">
        <f t="shared" si="4"/>
        <v>52.383336455130014</v>
      </c>
      <c r="P31" s="101">
        <f t="shared" si="5"/>
        <v>179188.18213586806</v>
      </c>
      <c r="Q31" s="101">
        <f t="shared" si="6"/>
        <v>866673.40229242388</v>
      </c>
      <c r="R31" s="101">
        <f t="shared" si="7"/>
        <v>687485.22015655576</v>
      </c>
    </row>
    <row r="32" spans="1:18" hidden="1" x14ac:dyDescent="0.25">
      <c r="A32" s="388">
        <v>20</v>
      </c>
      <c r="B32" s="24">
        <v>49124</v>
      </c>
      <c r="C32" s="19"/>
      <c r="D32" s="19"/>
      <c r="E32" s="19"/>
      <c r="F32" s="20">
        <f t="shared" si="8"/>
        <v>78</v>
      </c>
      <c r="G32" s="25">
        <f t="shared" si="0"/>
        <v>1.0027397260273974</v>
      </c>
      <c r="H32" s="116">
        <f t="shared" si="1"/>
        <v>2815693.1506849318</v>
      </c>
      <c r="I32" s="116">
        <f t="shared" si="2"/>
        <v>14.706636147609734</v>
      </c>
      <c r="J32" s="116"/>
      <c r="K32" s="116"/>
      <c r="L32" s="116"/>
      <c r="M32" s="116"/>
      <c r="N32" s="116">
        <f t="shared" si="3"/>
        <v>67.089972602739749</v>
      </c>
      <c r="O32" s="113">
        <f t="shared" si="4"/>
        <v>52.383336455130014</v>
      </c>
      <c r="P32" s="117">
        <f t="shared" si="5"/>
        <v>179188.18213586806</v>
      </c>
      <c r="Q32" s="117">
        <f t="shared" si="6"/>
        <v>866673.40229242388</v>
      </c>
      <c r="R32" s="101">
        <f t="shared" si="7"/>
        <v>687485.22015655576</v>
      </c>
    </row>
    <row r="33" spans="1:34" hidden="1" x14ac:dyDescent="0.25">
      <c r="A33" s="388"/>
      <c r="B33" s="24">
        <v>49490</v>
      </c>
      <c r="C33" s="143" t="s">
        <v>26</v>
      </c>
      <c r="D33" s="143"/>
      <c r="E33" s="143"/>
      <c r="F33" s="144">
        <f>F32</f>
        <v>78</v>
      </c>
      <c r="G33" s="103"/>
      <c r="H33" s="147">
        <f>SUM(H10:H32)</f>
        <v>54978213.698630124</v>
      </c>
      <c r="I33" s="147">
        <f>SUM(I10:I32)</f>
        <v>287.15649811294395</v>
      </c>
      <c r="J33" s="147"/>
      <c r="K33" s="147"/>
      <c r="L33" s="147"/>
      <c r="M33" s="147"/>
      <c r="N33" s="147">
        <f>SUM(N10:N32)</f>
        <v>1309.9747214611871</v>
      </c>
      <c r="O33" s="147">
        <f>SUM(O10:O32)</f>
        <v>1022.8182233482437</v>
      </c>
      <c r="P33" s="101">
        <f t="shared" si="5"/>
        <v>3498764.1204221407</v>
      </c>
      <c r="Q33" s="101">
        <f t="shared" si="6"/>
        <v>16922353.739632834</v>
      </c>
      <c r="R33" s="105">
        <f>SUM(R10:R32)</f>
        <v>13423589.619210701</v>
      </c>
    </row>
    <row r="34" spans="1:34" x14ac:dyDescent="0.25">
      <c r="A34" s="388"/>
      <c r="B34" s="24"/>
      <c r="C34" s="19"/>
      <c r="D34" s="19"/>
      <c r="E34" s="19"/>
      <c r="F34" s="20"/>
    </row>
    <row r="35" spans="1:34" x14ac:dyDescent="0.25">
      <c r="A35" s="411" t="str">
        <f>'[1]Economic Competitiveness'!A304</f>
        <v>Assuption - Bus Replacement Schedule Rev 33, added 24 begin ops in 2013, 23 in 2016, 37 in 2017 and 36 in 2018.</v>
      </c>
      <c r="B35" s="412"/>
      <c r="C35" s="413"/>
      <c r="D35" s="413"/>
      <c r="E35" s="413"/>
      <c r="F35" s="414"/>
      <c r="G35" s="415"/>
      <c r="H35" s="416"/>
      <c r="O35" s="8"/>
      <c r="S35" s="1"/>
    </row>
    <row r="36" spans="1:34" ht="16.5" x14ac:dyDescent="0.3">
      <c r="A36" s="461" t="s">
        <v>386</v>
      </c>
      <c r="B36" s="381"/>
      <c r="C36" s="381"/>
      <c r="D36" s="381"/>
      <c r="E36" s="417" t="s">
        <v>362</v>
      </c>
      <c r="F36" s="381"/>
      <c r="G36" s="381"/>
      <c r="H36" s="40" t="s">
        <v>256</v>
      </c>
      <c r="I36" s="40" t="s">
        <v>187</v>
      </c>
      <c r="J36" s="40" t="s">
        <v>363</v>
      </c>
      <c r="K36" s="40" t="s">
        <v>364</v>
      </c>
      <c r="L36" s="40" t="s">
        <v>361</v>
      </c>
      <c r="M36" s="40" t="s">
        <v>365</v>
      </c>
      <c r="N36" s="40" t="s">
        <v>366</v>
      </c>
      <c r="O36" s="40" t="s">
        <v>189</v>
      </c>
      <c r="P36" s="418" t="s">
        <v>367</v>
      </c>
      <c r="Q36" s="274"/>
      <c r="R36" s="274"/>
      <c r="S36" s="1"/>
    </row>
    <row r="37" spans="1:34" s="15" customFormat="1" ht="30" x14ac:dyDescent="0.25">
      <c r="A37" s="447" t="s">
        <v>191</v>
      </c>
      <c r="B37" s="448" t="s">
        <v>21</v>
      </c>
      <c r="C37" s="449" t="s">
        <v>368</v>
      </c>
      <c r="D37" s="449" t="s">
        <v>369</v>
      </c>
      <c r="E37" s="449" t="s">
        <v>370</v>
      </c>
      <c r="F37" s="449" t="s">
        <v>23</v>
      </c>
      <c r="G37" s="449" t="s">
        <v>24</v>
      </c>
      <c r="H37" s="450" t="s">
        <v>267</v>
      </c>
      <c r="I37" s="450" t="s">
        <v>265</v>
      </c>
      <c r="J37" s="450" t="s">
        <v>267</v>
      </c>
      <c r="K37" s="450" t="s">
        <v>265</v>
      </c>
      <c r="L37" s="450" t="s">
        <v>267</v>
      </c>
      <c r="M37" s="450" t="s">
        <v>265</v>
      </c>
      <c r="N37" s="450" t="s">
        <v>265</v>
      </c>
      <c r="O37" s="450" t="s">
        <v>25</v>
      </c>
      <c r="P37" s="451" t="s">
        <v>197</v>
      </c>
      <c r="Q37" s="452"/>
      <c r="R37" s="452"/>
    </row>
    <row r="38" spans="1:34" s="6" customFormat="1" x14ac:dyDescent="0.25">
      <c r="A38" s="388">
        <v>1</v>
      </c>
      <c r="B38" s="234">
        <v>2018</v>
      </c>
      <c r="C38" s="239">
        <v>47</v>
      </c>
      <c r="D38" s="239"/>
      <c r="E38" s="239"/>
      <c r="F38" s="20">
        <f t="shared" ref="F38:F77" si="9">C38+D38+E38</f>
        <v>47</v>
      </c>
      <c r="G38" s="25">
        <v>1</v>
      </c>
      <c r="H38" s="116">
        <f t="shared" ref="H38:H77" si="10">C38*G38*I$7</f>
        <v>1692000</v>
      </c>
      <c r="I38" s="116">
        <f t="shared" ref="I38:I77" si="11">H38*(Q$3+Q$4+Q$5+Q$6)/1000000</f>
        <v>8.9997480000000003</v>
      </c>
      <c r="J38" s="116">
        <f t="shared" ref="J38:J77" si="12">D38*G38*I$7</f>
        <v>0</v>
      </c>
      <c r="K38" s="116">
        <f t="shared" ref="K38:K77" si="13">J38*(S$3+S$4+S$5+S$6)/1000000</f>
        <v>0</v>
      </c>
      <c r="L38" s="116">
        <f t="shared" ref="L38:L77" si="14">E38*G38*I$7</f>
        <v>0</v>
      </c>
      <c r="M38" s="116">
        <f t="shared" ref="M38:M77" si="15">L38*(T$3+T$4+T$5+T$6)/1000000</f>
        <v>0</v>
      </c>
      <c r="N38" s="116">
        <f t="shared" ref="N38:N77" si="16">H38*(R$3+R$4+R$5+R$6)/1000000</f>
        <v>36.741780000000006</v>
      </c>
      <c r="O38" s="116">
        <f t="shared" ref="O38:O77" si="17">N38-I38-K38-M38</f>
        <v>27.742032000000005</v>
      </c>
      <c r="P38" s="419">
        <f t="shared" ref="P38:P77" si="18">(H38*(V$3*(R$3-Q$3)+V$4*(R$4-Q$4)+V$5*(R$5-Q$5)+V$6*(R$6-Q$6))+J38*(V$3*(R$3-S$3)+V$4*(R$4-S$4)+V$5*(R$5-S$5)+V$6*(R$6-S$6))+L38*(V$3*(R$3-T$3)+V$4*(R$4-T$4)+V$5*(R$5-T$5)+V$6*(R$6-T$6)))/1000000</f>
        <v>562059.48693599983</v>
      </c>
      <c r="Q38" s="101"/>
      <c r="R38" s="101"/>
    </row>
    <row r="39" spans="1:34" s="6" customFormat="1" x14ac:dyDescent="0.25">
      <c r="A39" s="388">
        <f t="shared" ref="A39:B77" si="19">A38+1</f>
        <v>2</v>
      </c>
      <c r="B39" s="234">
        <f t="shared" si="19"/>
        <v>2019</v>
      </c>
      <c r="C39" s="239">
        <v>47</v>
      </c>
      <c r="D39" s="238">
        <v>2</v>
      </c>
      <c r="E39" s="238"/>
      <c r="F39" s="20">
        <f t="shared" si="9"/>
        <v>49</v>
      </c>
      <c r="G39" s="25">
        <v>1</v>
      </c>
      <c r="H39" s="116">
        <f t="shared" si="10"/>
        <v>1692000</v>
      </c>
      <c r="I39" s="116">
        <f t="shared" si="11"/>
        <v>8.9997480000000003</v>
      </c>
      <c r="J39" s="116">
        <f t="shared" si="12"/>
        <v>72000</v>
      </c>
      <c r="K39" s="116">
        <f t="shared" si="13"/>
        <v>0.25545599999999996</v>
      </c>
      <c r="L39" s="116">
        <f t="shared" si="14"/>
        <v>0</v>
      </c>
      <c r="M39" s="116">
        <f t="shared" si="15"/>
        <v>0</v>
      </c>
      <c r="N39" s="116">
        <f t="shared" si="16"/>
        <v>36.741780000000006</v>
      </c>
      <c r="O39" s="116">
        <f t="shared" si="17"/>
        <v>27.486576000000007</v>
      </c>
      <c r="P39" s="419">
        <f t="shared" si="18"/>
        <v>584166.50755199988</v>
      </c>
      <c r="Q39" s="101"/>
      <c r="R39" s="101"/>
    </row>
    <row r="40" spans="1:34" x14ac:dyDescent="0.25">
      <c r="A40" s="388">
        <f t="shared" si="19"/>
        <v>3</v>
      </c>
      <c r="B40" s="234">
        <f t="shared" si="19"/>
        <v>2020</v>
      </c>
      <c r="C40" s="239">
        <v>47</v>
      </c>
      <c r="D40" s="238">
        <v>5</v>
      </c>
      <c r="E40" s="238"/>
      <c r="F40" s="20">
        <f t="shared" si="9"/>
        <v>52</v>
      </c>
      <c r="G40" s="25">
        <v>1</v>
      </c>
      <c r="H40" s="116">
        <f t="shared" si="10"/>
        <v>1692000</v>
      </c>
      <c r="I40" s="116">
        <f t="shared" si="11"/>
        <v>8.9997480000000003</v>
      </c>
      <c r="J40" s="116">
        <f t="shared" si="12"/>
        <v>180000</v>
      </c>
      <c r="K40" s="116">
        <f t="shared" si="13"/>
        <v>0.63863999999999987</v>
      </c>
      <c r="L40" s="116">
        <f t="shared" si="14"/>
        <v>0</v>
      </c>
      <c r="M40" s="116">
        <f t="shared" si="15"/>
        <v>0</v>
      </c>
      <c r="N40" s="116">
        <f t="shared" si="16"/>
        <v>36.741780000000006</v>
      </c>
      <c r="O40" s="116">
        <f t="shared" si="17"/>
        <v>27.103392000000007</v>
      </c>
      <c r="P40" s="419">
        <f t="shared" si="18"/>
        <v>617327.03847599984</v>
      </c>
      <c r="Q40" s="101"/>
      <c r="R40" s="10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5">
      <c r="A41" s="388">
        <f t="shared" si="19"/>
        <v>4</v>
      </c>
      <c r="B41" s="234">
        <f t="shared" si="19"/>
        <v>2021</v>
      </c>
      <c r="C41" s="239">
        <v>50</v>
      </c>
      <c r="D41" s="238">
        <v>10</v>
      </c>
      <c r="E41" s="238"/>
      <c r="F41" s="20">
        <f t="shared" si="9"/>
        <v>60</v>
      </c>
      <c r="G41" s="25">
        <v>1</v>
      </c>
      <c r="H41" s="116">
        <f t="shared" si="10"/>
        <v>1800000</v>
      </c>
      <c r="I41" s="116">
        <f t="shared" si="11"/>
        <v>9.5741999999999994</v>
      </c>
      <c r="J41" s="116">
        <f t="shared" si="12"/>
        <v>360000</v>
      </c>
      <c r="K41" s="116">
        <f t="shared" si="13"/>
        <v>1.2772799999999997</v>
      </c>
      <c r="L41" s="116">
        <f t="shared" si="14"/>
        <v>0</v>
      </c>
      <c r="M41" s="116">
        <f t="shared" si="15"/>
        <v>0</v>
      </c>
      <c r="N41" s="116">
        <f t="shared" si="16"/>
        <v>39.08700000000001</v>
      </c>
      <c r="O41" s="116">
        <f t="shared" si="17"/>
        <v>28.235520000000012</v>
      </c>
      <c r="P41" s="419">
        <f t="shared" si="18"/>
        <v>708470.72747999988</v>
      </c>
      <c r="Q41" s="101"/>
      <c r="R41" s="101"/>
    </row>
    <row r="42" spans="1:34" x14ac:dyDescent="0.25">
      <c r="A42" s="388">
        <f t="shared" si="19"/>
        <v>5</v>
      </c>
      <c r="B42" s="234">
        <f t="shared" si="19"/>
        <v>2022</v>
      </c>
      <c r="C42" s="239">
        <v>60</v>
      </c>
      <c r="D42" s="238">
        <v>15</v>
      </c>
      <c r="E42" s="238"/>
      <c r="F42" s="20">
        <f t="shared" si="9"/>
        <v>75</v>
      </c>
      <c r="G42" s="25">
        <v>1</v>
      </c>
      <c r="H42" s="116">
        <f t="shared" si="10"/>
        <v>2160000</v>
      </c>
      <c r="I42" s="116">
        <f t="shared" si="11"/>
        <v>11.489039999999999</v>
      </c>
      <c r="J42" s="116">
        <f t="shared" si="12"/>
        <v>540000</v>
      </c>
      <c r="K42" s="116">
        <f t="shared" si="13"/>
        <v>1.9159199999999998</v>
      </c>
      <c r="L42" s="116">
        <f t="shared" si="14"/>
        <v>0</v>
      </c>
      <c r="M42" s="116">
        <f t="shared" si="15"/>
        <v>0</v>
      </c>
      <c r="N42" s="116">
        <f t="shared" si="16"/>
        <v>46.90440000000001</v>
      </c>
      <c r="O42" s="116">
        <f t="shared" si="17"/>
        <v>33.499440000000007</v>
      </c>
      <c r="P42" s="419">
        <f t="shared" si="18"/>
        <v>883325.40389999992</v>
      </c>
      <c r="Q42" s="101"/>
      <c r="R42" s="101"/>
    </row>
    <row r="43" spans="1:34" x14ac:dyDescent="0.25">
      <c r="A43" s="388">
        <f t="shared" si="19"/>
        <v>6</v>
      </c>
      <c r="B43" s="234">
        <f t="shared" si="19"/>
        <v>2023</v>
      </c>
      <c r="C43" s="239">
        <v>65</v>
      </c>
      <c r="D43" s="238">
        <v>20</v>
      </c>
      <c r="E43" s="238"/>
      <c r="F43" s="20">
        <f t="shared" si="9"/>
        <v>85</v>
      </c>
      <c r="G43" s="25">
        <v>1</v>
      </c>
      <c r="H43" s="116">
        <f t="shared" si="10"/>
        <v>2340000</v>
      </c>
      <c r="I43" s="116">
        <f t="shared" si="11"/>
        <v>12.44646</v>
      </c>
      <c r="J43" s="116">
        <f t="shared" si="12"/>
        <v>720000</v>
      </c>
      <c r="K43" s="116">
        <f t="shared" si="13"/>
        <v>2.5545599999999995</v>
      </c>
      <c r="L43" s="116">
        <f t="shared" si="14"/>
        <v>0</v>
      </c>
      <c r="M43" s="116">
        <f t="shared" si="15"/>
        <v>0</v>
      </c>
      <c r="N43" s="116">
        <f t="shared" si="16"/>
        <v>50.813100000000006</v>
      </c>
      <c r="O43" s="116">
        <f t="shared" si="17"/>
        <v>35.812080000000002</v>
      </c>
      <c r="P43" s="419">
        <f t="shared" si="18"/>
        <v>998386.51787999971</v>
      </c>
      <c r="Q43" s="101"/>
      <c r="R43" s="101"/>
    </row>
    <row r="44" spans="1:34" x14ac:dyDescent="0.25">
      <c r="A44" s="388">
        <f t="shared" si="19"/>
        <v>7</v>
      </c>
      <c r="B44" s="234">
        <f t="shared" si="19"/>
        <v>2024</v>
      </c>
      <c r="C44" s="239">
        <v>75</v>
      </c>
      <c r="D44" s="238">
        <v>25</v>
      </c>
      <c r="E44" s="238"/>
      <c r="F44" s="20">
        <f t="shared" si="9"/>
        <v>100</v>
      </c>
      <c r="G44" s="25">
        <v>1</v>
      </c>
      <c r="H44" s="116">
        <f t="shared" si="10"/>
        <v>2700000</v>
      </c>
      <c r="I44" s="116">
        <f t="shared" si="11"/>
        <v>14.3613</v>
      </c>
      <c r="J44" s="116">
        <f t="shared" si="12"/>
        <v>900000</v>
      </c>
      <c r="K44" s="116">
        <f t="shared" si="13"/>
        <v>3.1931999999999996</v>
      </c>
      <c r="L44" s="116">
        <f t="shared" si="14"/>
        <v>0</v>
      </c>
      <c r="M44" s="116">
        <f t="shared" si="15"/>
        <v>0</v>
      </c>
      <c r="N44" s="116">
        <f t="shared" si="16"/>
        <v>58.630500000000005</v>
      </c>
      <c r="O44" s="116">
        <f t="shared" si="17"/>
        <v>41.076000000000008</v>
      </c>
      <c r="P44" s="419">
        <f t="shared" si="18"/>
        <v>1173241.1942999999</v>
      </c>
      <c r="Q44" s="101"/>
      <c r="R44" s="101"/>
    </row>
    <row r="45" spans="1:34" x14ac:dyDescent="0.25">
      <c r="A45" s="388">
        <f t="shared" si="19"/>
        <v>8</v>
      </c>
      <c r="B45" s="234">
        <f t="shared" si="19"/>
        <v>2025</v>
      </c>
      <c r="C45" s="239">
        <v>75</v>
      </c>
      <c r="D45" s="238">
        <v>30</v>
      </c>
      <c r="E45" s="238"/>
      <c r="F45" s="20">
        <f t="shared" si="9"/>
        <v>105</v>
      </c>
      <c r="G45" s="25">
        <v>1</v>
      </c>
      <c r="H45" s="116">
        <f t="shared" si="10"/>
        <v>2700000</v>
      </c>
      <c r="I45" s="116">
        <f t="shared" si="11"/>
        <v>14.3613</v>
      </c>
      <c r="J45" s="116">
        <f t="shared" si="12"/>
        <v>1080000</v>
      </c>
      <c r="K45" s="116">
        <f t="shared" si="13"/>
        <v>3.8318399999999997</v>
      </c>
      <c r="L45" s="116">
        <f t="shared" si="14"/>
        <v>0</v>
      </c>
      <c r="M45" s="116">
        <f t="shared" si="15"/>
        <v>0</v>
      </c>
      <c r="N45" s="116">
        <f t="shared" si="16"/>
        <v>58.630500000000005</v>
      </c>
      <c r="O45" s="116">
        <f t="shared" si="17"/>
        <v>40.437360000000005</v>
      </c>
      <c r="P45" s="419">
        <f t="shared" si="18"/>
        <v>1228508.7458399998</v>
      </c>
      <c r="Q45" s="101"/>
      <c r="R45" s="101"/>
    </row>
    <row r="46" spans="1:34" x14ac:dyDescent="0.25">
      <c r="A46" s="388">
        <f t="shared" si="19"/>
        <v>9</v>
      </c>
      <c r="B46" s="234">
        <f t="shared" si="19"/>
        <v>2026</v>
      </c>
      <c r="C46" s="239">
        <v>75</v>
      </c>
      <c r="D46" s="238">
        <v>40</v>
      </c>
      <c r="E46" s="238"/>
      <c r="F46" s="20">
        <f t="shared" si="9"/>
        <v>115</v>
      </c>
      <c r="G46" s="25">
        <v>1</v>
      </c>
      <c r="H46" s="116">
        <f t="shared" si="10"/>
        <v>2700000</v>
      </c>
      <c r="I46" s="116">
        <f t="shared" si="11"/>
        <v>14.3613</v>
      </c>
      <c r="J46" s="116">
        <f t="shared" si="12"/>
        <v>1440000</v>
      </c>
      <c r="K46" s="116">
        <f t="shared" si="13"/>
        <v>5.109119999999999</v>
      </c>
      <c r="L46" s="116">
        <f t="shared" si="14"/>
        <v>0</v>
      </c>
      <c r="M46" s="116">
        <f t="shared" si="15"/>
        <v>0</v>
      </c>
      <c r="N46" s="116">
        <f t="shared" si="16"/>
        <v>58.630500000000005</v>
      </c>
      <c r="O46" s="116">
        <f t="shared" si="17"/>
        <v>39.160080000000008</v>
      </c>
      <c r="P46" s="419">
        <f t="shared" si="18"/>
        <v>1339043.8489199996</v>
      </c>
      <c r="Q46" s="101"/>
      <c r="R46" s="101"/>
    </row>
    <row r="47" spans="1:34" x14ac:dyDescent="0.25">
      <c r="A47" s="388">
        <f t="shared" si="19"/>
        <v>10</v>
      </c>
      <c r="B47" s="234">
        <f t="shared" si="19"/>
        <v>2027</v>
      </c>
      <c r="C47" s="239">
        <v>75</v>
      </c>
      <c r="D47" s="238">
        <v>50</v>
      </c>
      <c r="E47" s="238"/>
      <c r="F47" s="20">
        <f t="shared" si="9"/>
        <v>125</v>
      </c>
      <c r="G47" s="25">
        <v>1</v>
      </c>
      <c r="H47" s="116">
        <f t="shared" si="10"/>
        <v>2700000</v>
      </c>
      <c r="I47" s="116">
        <f t="shared" si="11"/>
        <v>14.3613</v>
      </c>
      <c r="J47" s="116">
        <f t="shared" si="12"/>
        <v>1800000</v>
      </c>
      <c r="K47" s="116">
        <f t="shared" si="13"/>
        <v>6.3863999999999992</v>
      </c>
      <c r="L47" s="116">
        <f t="shared" si="14"/>
        <v>0</v>
      </c>
      <c r="M47" s="116">
        <f t="shared" si="15"/>
        <v>0</v>
      </c>
      <c r="N47" s="116">
        <f t="shared" si="16"/>
        <v>58.630500000000005</v>
      </c>
      <c r="O47" s="116">
        <f t="shared" si="17"/>
        <v>37.882800000000003</v>
      </c>
      <c r="P47" s="419">
        <f t="shared" si="18"/>
        <v>1449578.9519999996</v>
      </c>
      <c r="Q47" s="101"/>
      <c r="R47" s="101"/>
    </row>
    <row r="48" spans="1:34" x14ac:dyDescent="0.25">
      <c r="A48" s="388">
        <f t="shared" si="19"/>
        <v>11</v>
      </c>
      <c r="B48" s="234">
        <f t="shared" si="19"/>
        <v>2028</v>
      </c>
      <c r="C48" s="239">
        <v>75</v>
      </c>
      <c r="D48" s="238">
        <v>60</v>
      </c>
      <c r="E48" s="238"/>
      <c r="F48" s="20">
        <f t="shared" si="9"/>
        <v>135</v>
      </c>
      <c r="G48" s="25">
        <v>1</v>
      </c>
      <c r="H48" s="116">
        <f t="shared" si="10"/>
        <v>2700000</v>
      </c>
      <c r="I48" s="116">
        <f t="shared" si="11"/>
        <v>14.3613</v>
      </c>
      <c r="J48" s="116">
        <f t="shared" si="12"/>
        <v>2160000</v>
      </c>
      <c r="K48" s="116">
        <f t="shared" si="13"/>
        <v>7.6636799999999994</v>
      </c>
      <c r="L48" s="116">
        <f t="shared" si="14"/>
        <v>0</v>
      </c>
      <c r="M48" s="116">
        <f t="shared" si="15"/>
        <v>0</v>
      </c>
      <c r="N48" s="116">
        <f t="shared" si="16"/>
        <v>58.630500000000005</v>
      </c>
      <c r="O48" s="116">
        <f t="shared" si="17"/>
        <v>36.605520000000006</v>
      </c>
      <c r="P48" s="419">
        <f t="shared" si="18"/>
        <v>1560114.0550799996</v>
      </c>
      <c r="Q48" s="101"/>
      <c r="R48" s="101"/>
    </row>
    <row r="49" spans="1:18" x14ac:dyDescent="0.25">
      <c r="A49" s="388">
        <f t="shared" si="19"/>
        <v>12</v>
      </c>
      <c r="B49" s="234">
        <f t="shared" si="19"/>
        <v>2029</v>
      </c>
      <c r="C49" s="239">
        <v>75</v>
      </c>
      <c r="D49" s="238">
        <v>75</v>
      </c>
      <c r="E49" s="238"/>
      <c r="F49" s="20">
        <f t="shared" si="9"/>
        <v>150</v>
      </c>
      <c r="G49" s="25">
        <v>1</v>
      </c>
      <c r="H49" s="116">
        <f t="shared" si="10"/>
        <v>2700000</v>
      </c>
      <c r="I49" s="116">
        <f t="shared" si="11"/>
        <v>14.3613</v>
      </c>
      <c r="J49" s="116">
        <f t="shared" si="12"/>
        <v>2700000</v>
      </c>
      <c r="K49" s="116">
        <f t="shared" si="13"/>
        <v>9.5795999999999975</v>
      </c>
      <c r="L49" s="116">
        <f t="shared" si="14"/>
        <v>0</v>
      </c>
      <c r="M49" s="116">
        <f t="shared" si="15"/>
        <v>0</v>
      </c>
      <c r="N49" s="116">
        <f t="shared" si="16"/>
        <v>58.630500000000005</v>
      </c>
      <c r="O49" s="116">
        <f t="shared" si="17"/>
        <v>34.689600000000006</v>
      </c>
      <c r="P49" s="419">
        <f t="shared" si="18"/>
        <v>1725916.7096999995</v>
      </c>
      <c r="Q49" s="101"/>
      <c r="R49" s="101"/>
    </row>
    <row r="50" spans="1:18" x14ac:dyDescent="0.25">
      <c r="A50" s="388">
        <f t="shared" si="19"/>
        <v>13</v>
      </c>
      <c r="B50" s="234">
        <f t="shared" si="19"/>
        <v>2030</v>
      </c>
      <c r="C50" s="239">
        <v>75</v>
      </c>
      <c r="D50" s="238">
        <v>75</v>
      </c>
      <c r="E50" s="238"/>
      <c r="F50" s="20">
        <f t="shared" si="9"/>
        <v>150</v>
      </c>
      <c r="G50" s="25">
        <v>1</v>
      </c>
      <c r="H50" s="116">
        <f t="shared" si="10"/>
        <v>2700000</v>
      </c>
      <c r="I50" s="116">
        <f t="shared" si="11"/>
        <v>14.3613</v>
      </c>
      <c r="J50" s="116">
        <f t="shared" si="12"/>
        <v>2700000</v>
      </c>
      <c r="K50" s="116">
        <f t="shared" si="13"/>
        <v>9.5795999999999975</v>
      </c>
      <c r="L50" s="116">
        <f t="shared" si="14"/>
        <v>0</v>
      </c>
      <c r="M50" s="116">
        <f t="shared" si="15"/>
        <v>0</v>
      </c>
      <c r="N50" s="116">
        <f t="shared" si="16"/>
        <v>58.630500000000005</v>
      </c>
      <c r="O50" s="116">
        <f t="shared" si="17"/>
        <v>34.689600000000006</v>
      </c>
      <c r="P50" s="419">
        <f t="shared" si="18"/>
        <v>1725916.7096999995</v>
      </c>
      <c r="Q50" s="101"/>
      <c r="R50" s="101"/>
    </row>
    <row r="51" spans="1:18" x14ac:dyDescent="0.25">
      <c r="A51" s="388">
        <f t="shared" si="19"/>
        <v>14</v>
      </c>
      <c r="B51" s="234">
        <f t="shared" si="19"/>
        <v>2031</v>
      </c>
      <c r="C51" s="239">
        <v>75</v>
      </c>
      <c r="D51" s="238">
        <v>75</v>
      </c>
      <c r="E51" s="238"/>
      <c r="F51" s="20">
        <f t="shared" si="9"/>
        <v>150</v>
      </c>
      <c r="G51" s="25">
        <v>1</v>
      </c>
      <c r="H51" s="116">
        <f t="shared" si="10"/>
        <v>2700000</v>
      </c>
      <c r="I51" s="116">
        <f t="shared" si="11"/>
        <v>14.3613</v>
      </c>
      <c r="J51" s="116">
        <f t="shared" si="12"/>
        <v>2700000</v>
      </c>
      <c r="K51" s="116">
        <f t="shared" si="13"/>
        <v>9.5795999999999975</v>
      </c>
      <c r="L51" s="116">
        <f t="shared" si="14"/>
        <v>0</v>
      </c>
      <c r="M51" s="116">
        <f t="shared" si="15"/>
        <v>0</v>
      </c>
      <c r="N51" s="116">
        <f t="shared" si="16"/>
        <v>58.630500000000005</v>
      </c>
      <c r="O51" s="116">
        <f t="shared" si="17"/>
        <v>34.689600000000006</v>
      </c>
      <c r="P51" s="419">
        <f t="shared" si="18"/>
        <v>1725916.7096999995</v>
      </c>
      <c r="Q51" s="101"/>
      <c r="R51" s="101"/>
    </row>
    <row r="52" spans="1:18" x14ac:dyDescent="0.25">
      <c r="A52" s="388">
        <f t="shared" si="19"/>
        <v>15</v>
      </c>
      <c r="B52" s="234">
        <f t="shared" si="19"/>
        <v>2032</v>
      </c>
      <c r="C52" s="239">
        <v>75</v>
      </c>
      <c r="D52" s="238">
        <v>75</v>
      </c>
      <c r="E52" s="238"/>
      <c r="F52" s="20">
        <f t="shared" si="9"/>
        <v>150</v>
      </c>
      <c r="G52" s="25">
        <v>1</v>
      </c>
      <c r="H52" s="116">
        <f t="shared" si="10"/>
        <v>2700000</v>
      </c>
      <c r="I52" s="116">
        <f t="shared" si="11"/>
        <v>14.3613</v>
      </c>
      <c r="J52" s="116">
        <f t="shared" si="12"/>
        <v>2700000</v>
      </c>
      <c r="K52" s="116">
        <f t="shared" si="13"/>
        <v>9.5795999999999975</v>
      </c>
      <c r="L52" s="116">
        <f t="shared" si="14"/>
        <v>0</v>
      </c>
      <c r="M52" s="116">
        <f t="shared" si="15"/>
        <v>0</v>
      </c>
      <c r="N52" s="116">
        <f t="shared" si="16"/>
        <v>58.630500000000005</v>
      </c>
      <c r="O52" s="116">
        <f t="shared" si="17"/>
        <v>34.689600000000006</v>
      </c>
      <c r="P52" s="419">
        <f t="shared" si="18"/>
        <v>1725916.7096999995</v>
      </c>
      <c r="Q52" s="101"/>
      <c r="R52" s="101"/>
    </row>
    <row r="53" spans="1:18" x14ac:dyDescent="0.25">
      <c r="A53" s="388">
        <f t="shared" si="19"/>
        <v>16</v>
      </c>
      <c r="B53" s="234">
        <f t="shared" si="19"/>
        <v>2033</v>
      </c>
      <c r="C53" s="239">
        <v>75</v>
      </c>
      <c r="D53" s="238">
        <v>75</v>
      </c>
      <c r="E53" s="238"/>
      <c r="F53" s="20">
        <f t="shared" si="9"/>
        <v>150</v>
      </c>
      <c r="G53" s="25">
        <v>1</v>
      </c>
      <c r="H53" s="116">
        <f t="shared" si="10"/>
        <v>2700000</v>
      </c>
      <c r="I53" s="116">
        <f t="shared" si="11"/>
        <v>14.3613</v>
      </c>
      <c r="J53" s="116">
        <f t="shared" si="12"/>
        <v>2700000</v>
      </c>
      <c r="K53" s="116">
        <f t="shared" si="13"/>
        <v>9.5795999999999975</v>
      </c>
      <c r="L53" s="116">
        <f t="shared" si="14"/>
        <v>0</v>
      </c>
      <c r="M53" s="116">
        <f t="shared" si="15"/>
        <v>0</v>
      </c>
      <c r="N53" s="116">
        <f t="shared" si="16"/>
        <v>58.630500000000005</v>
      </c>
      <c r="O53" s="116">
        <f t="shared" si="17"/>
        <v>34.689600000000006</v>
      </c>
      <c r="P53" s="419">
        <f t="shared" si="18"/>
        <v>1725916.7096999995</v>
      </c>
      <c r="Q53" s="101"/>
      <c r="R53" s="101"/>
    </row>
    <row r="54" spans="1:18" x14ac:dyDescent="0.25">
      <c r="A54" s="388">
        <f t="shared" si="19"/>
        <v>17</v>
      </c>
      <c r="B54" s="234">
        <f t="shared" si="19"/>
        <v>2034</v>
      </c>
      <c r="C54" s="239">
        <v>75</v>
      </c>
      <c r="D54" s="238">
        <v>75</v>
      </c>
      <c r="E54" s="238"/>
      <c r="F54" s="20">
        <f t="shared" si="9"/>
        <v>150</v>
      </c>
      <c r="G54" s="25">
        <v>1</v>
      </c>
      <c r="H54" s="116">
        <f t="shared" si="10"/>
        <v>2700000</v>
      </c>
      <c r="I54" s="116">
        <f t="shared" si="11"/>
        <v>14.3613</v>
      </c>
      <c r="J54" s="116">
        <f t="shared" si="12"/>
        <v>2700000</v>
      </c>
      <c r="K54" s="116">
        <f t="shared" si="13"/>
        <v>9.5795999999999975</v>
      </c>
      <c r="L54" s="116">
        <f t="shared" si="14"/>
        <v>0</v>
      </c>
      <c r="M54" s="116">
        <f t="shared" si="15"/>
        <v>0</v>
      </c>
      <c r="N54" s="116">
        <f t="shared" si="16"/>
        <v>58.630500000000005</v>
      </c>
      <c r="O54" s="116">
        <f t="shared" si="17"/>
        <v>34.689600000000006</v>
      </c>
      <c r="P54" s="419">
        <f t="shared" si="18"/>
        <v>1725916.7096999995</v>
      </c>
      <c r="Q54" s="101"/>
      <c r="R54" s="101"/>
    </row>
    <row r="55" spans="1:18" x14ac:dyDescent="0.25">
      <c r="A55" s="388">
        <f t="shared" si="19"/>
        <v>18</v>
      </c>
      <c r="B55" s="234">
        <f t="shared" si="19"/>
        <v>2035</v>
      </c>
      <c r="C55" s="239">
        <v>75</v>
      </c>
      <c r="D55" s="238">
        <v>75</v>
      </c>
      <c r="E55" s="238"/>
      <c r="F55" s="20">
        <f t="shared" si="9"/>
        <v>150</v>
      </c>
      <c r="G55" s="25">
        <v>1</v>
      </c>
      <c r="H55" s="116">
        <f t="shared" si="10"/>
        <v>2700000</v>
      </c>
      <c r="I55" s="116">
        <f t="shared" si="11"/>
        <v>14.3613</v>
      </c>
      <c r="J55" s="116">
        <f t="shared" si="12"/>
        <v>2700000</v>
      </c>
      <c r="K55" s="116">
        <f t="shared" si="13"/>
        <v>9.5795999999999975</v>
      </c>
      <c r="L55" s="116">
        <f t="shared" si="14"/>
        <v>0</v>
      </c>
      <c r="M55" s="116">
        <f t="shared" si="15"/>
        <v>0</v>
      </c>
      <c r="N55" s="116">
        <f t="shared" si="16"/>
        <v>58.630500000000005</v>
      </c>
      <c r="O55" s="116">
        <f t="shared" si="17"/>
        <v>34.689600000000006</v>
      </c>
      <c r="P55" s="419">
        <f t="shared" si="18"/>
        <v>1725916.7096999995</v>
      </c>
      <c r="Q55" s="101"/>
      <c r="R55" s="101"/>
    </row>
    <row r="56" spans="1:18" x14ac:dyDescent="0.25">
      <c r="A56" s="388">
        <f t="shared" si="19"/>
        <v>19</v>
      </c>
      <c r="B56" s="234">
        <f t="shared" si="19"/>
        <v>2036</v>
      </c>
      <c r="C56" s="239">
        <v>75</v>
      </c>
      <c r="D56" s="238">
        <v>75</v>
      </c>
      <c r="E56" s="238"/>
      <c r="F56" s="20">
        <f t="shared" si="9"/>
        <v>150</v>
      </c>
      <c r="G56" s="25">
        <v>1</v>
      </c>
      <c r="H56" s="116">
        <f t="shared" si="10"/>
        <v>2700000</v>
      </c>
      <c r="I56" s="116">
        <f t="shared" si="11"/>
        <v>14.3613</v>
      </c>
      <c r="J56" s="116">
        <f t="shared" si="12"/>
        <v>2700000</v>
      </c>
      <c r="K56" s="116">
        <f t="shared" si="13"/>
        <v>9.5795999999999975</v>
      </c>
      <c r="L56" s="116">
        <f t="shared" si="14"/>
        <v>0</v>
      </c>
      <c r="M56" s="116">
        <f t="shared" si="15"/>
        <v>0</v>
      </c>
      <c r="N56" s="116">
        <f t="shared" si="16"/>
        <v>58.630500000000005</v>
      </c>
      <c r="O56" s="116">
        <f t="shared" si="17"/>
        <v>34.689600000000006</v>
      </c>
      <c r="P56" s="419">
        <f t="shared" si="18"/>
        <v>1725916.7096999995</v>
      </c>
      <c r="Q56" s="101"/>
      <c r="R56" s="101"/>
    </row>
    <row r="57" spans="1:18" x14ac:dyDescent="0.25">
      <c r="A57" s="388">
        <f t="shared" si="19"/>
        <v>20</v>
      </c>
      <c r="B57" s="234">
        <f t="shared" si="19"/>
        <v>2037</v>
      </c>
      <c r="C57" s="239">
        <v>75</v>
      </c>
      <c r="D57" s="238">
        <v>75</v>
      </c>
      <c r="E57" s="238"/>
      <c r="F57" s="20">
        <f t="shared" si="9"/>
        <v>150</v>
      </c>
      <c r="G57" s="25">
        <v>1</v>
      </c>
      <c r="H57" s="116">
        <f t="shared" si="10"/>
        <v>2700000</v>
      </c>
      <c r="I57" s="116">
        <f t="shared" si="11"/>
        <v>14.3613</v>
      </c>
      <c r="J57" s="116">
        <f t="shared" si="12"/>
        <v>2700000</v>
      </c>
      <c r="K57" s="116">
        <f t="shared" si="13"/>
        <v>9.5795999999999975</v>
      </c>
      <c r="L57" s="116">
        <f t="shared" si="14"/>
        <v>0</v>
      </c>
      <c r="M57" s="116">
        <f t="shared" si="15"/>
        <v>0</v>
      </c>
      <c r="N57" s="116">
        <f t="shared" si="16"/>
        <v>58.630500000000005</v>
      </c>
      <c r="O57" s="116">
        <f t="shared" si="17"/>
        <v>34.689600000000006</v>
      </c>
      <c r="P57" s="419">
        <f t="shared" si="18"/>
        <v>1725916.7096999995</v>
      </c>
      <c r="Q57" s="101"/>
      <c r="R57" s="101"/>
    </row>
    <row r="58" spans="1:18" x14ac:dyDescent="0.25">
      <c r="A58" s="388">
        <f t="shared" si="19"/>
        <v>21</v>
      </c>
      <c r="B58" s="234">
        <f t="shared" si="19"/>
        <v>2038</v>
      </c>
      <c r="C58" s="239">
        <v>75</v>
      </c>
      <c r="D58" s="238">
        <v>75</v>
      </c>
      <c r="E58" s="238"/>
      <c r="F58" s="20">
        <f t="shared" si="9"/>
        <v>150</v>
      </c>
      <c r="G58" s="25">
        <v>1</v>
      </c>
      <c r="H58" s="116">
        <f t="shared" si="10"/>
        <v>2700000</v>
      </c>
      <c r="I58" s="116">
        <f t="shared" si="11"/>
        <v>14.3613</v>
      </c>
      <c r="J58" s="116">
        <f t="shared" si="12"/>
        <v>2700000</v>
      </c>
      <c r="K58" s="116">
        <f t="shared" si="13"/>
        <v>9.5795999999999975</v>
      </c>
      <c r="L58" s="116">
        <f t="shared" si="14"/>
        <v>0</v>
      </c>
      <c r="M58" s="116">
        <f t="shared" si="15"/>
        <v>0</v>
      </c>
      <c r="N58" s="116">
        <f t="shared" si="16"/>
        <v>58.630500000000005</v>
      </c>
      <c r="O58" s="116">
        <f t="shared" si="17"/>
        <v>34.689600000000006</v>
      </c>
      <c r="P58" s="419">
        <f t="shared" si="18"/>
        <v>1725916.7096999995</v>
      </c>
      <c r="Q58" s="101"/>
      <c r="R58" s="101"/>
    </row>
    <row r="59" spans="1:18" x14ac:dyDescent="0.25">
      <c r="A59" s="388">
        <f t="shared" si="19"/>
        <v>22</v>
      </c>
      <c r="B59" s="234">
        <f t="shared" si="19"/>
        <v>2039</v>
      </c>
      <c r="C59" s="239">
        <v>75</v>
      </c>
      <c r="D59" s="238">
        <v>75</v>
      </c>
      <c r="E59" s="238"/>
      <c r="F59" s="20">
        <f t="shared" si="9"/>
        <v>150</v>
      </c>
      <c r="G59" s="25">
        <v>1</v>
      </c>
      <c r="H59" s="116">
        <f t="shared" si="10"/>
        <v>2700000</v>
      </c>
      <c r="I59" s="116">
        <f t="shared" si="11"/>
        <v>14.3613</v>
      </c>
      <c r="J59" s="116">
        <f t="shared" si="12"/>
        <v>2700000</v>
      </c>
      <c r="K59" s="116">
        <f t="shared" si="13"/>
        <v>9.5795999999999975</v>
      </c>
      <c r="L59" s="116">
        <f t="shared" si="14"/>
        <v>0</v>
      </c>
      <c r="M59" s="116">
        <f t="shared" si="15"/>
        <v>0</v>
      </c>
      <c r="N59" s="116">
        <f t="shared" si="16"/>
        <v>58.630500000000005</v>
      </c>
      <c r="O59" s="116">
        <f t="shared" si="17"/>
        <v>34.689600000000006</v>
      </c>
      <c r="P59" s="419">
        <f t="shared" si="18"/>
        <v>1725916.7096999995</v>
      </c>
      <c r="Q59" s="101"/>
      <c r="R59" s="101"/>
    </row>
    <row r="60" spans="1:18" x14ac:dyDescent="0.25">
      <c r="A60" s="388">
        <f t="shared" si="19"/>
        <v>23</v>
      </c>
      <c r="B60" s="234">
        <f t="shared" si="19"/>
        <v>2040</v>
      </c>
      <c r="C60" s="239">
        <v>75</v>
      </c>
      <c r="D60" s="238">
        <v>75</v>
      </c>
      <c r="E60" s="238"/>
      <c r="F60" s="20">
        <f t="shared" si="9"/>
        <v>150</v>
      </c>
      <c r="G60" s="25">
        <v>1</v>
      </c>
      <c r="H60" s="116">
        <f t="shared" si="10"/>
        <v>2700000</v>
      </c>
      <c r="I60" s="116">
        <f t="shared" si="11"/>
        <v>14.3613</v>
      </c>
      <c r="J60" s="116">
        <f t="shared" si="12"/>
        <v>2700000</v>
      </c>
      <c r="K60" s="116">
        <f t="shared" si="13"/>
        <v>9.5795999999999975</v>
      </c>
      <c r="L60" s="116">
        <f t="shared" si="14"/>
        <v>0</v>
      </c>
      <c r="M60" s="116">
        <f t="shared" si="15"/>
        <v>0</v>
      </c>
      <c r="N60" s="116">
        <f t="shared" si="16"/>
        <v>58.630500000000005</v>
      </c>
      <c r="O60" s="116">
        <f t="shared" si="17"/>
        <v>34.689600000000006</v>
      </c>
      <c r="P60" s="419">
        <f t="shared" si="18"/>
        <v>1725916.7096999995</v>
      </c>
      <c r="Q60" s="101"/>
      <c r="R60" s="101"/>
    </row>
    <row r="61" spans="1:18" x14ac:dyDescent="0.25">
      <c r="A61" s="388">
        <f t="shared" si="19"/>
        <v>24</v>
      </c>
      <c r="B61" s="234">
        <f t="shared" si="19"/>
        <v>2041</v>
      </c>
      <c r="C61" s="239">
        <v>75</v>
      </c>
      <c r="D61" s="238">
        <v>75</v>
      </c>
      <c r="E61" s="238"/>
      <c r="F61" s="20">
        <f t="shared" si="9"/>
        <v>150</v>
      </c>
      <c r="G61" s="25">
        <v>1</v>
      </c>
      <c r="H61" s="116">
        <f t="shared" si="10"/>
        <v>2700000</v>
      </c>
      <c r="I61" s="116">
        <f t="shared" si="11"/>
        <v>14.3613</v>
      </c>
      <c r="J61" s="116">
        <f t="shared" si="12"/>
        <v>2700000</v>
      </c>
      <c r="K61" s="116">
        <f t="shared" si="13"/>
        <v>9.5795999999999975</v>
      </c>
      <c r="L61" s="116">
        <f t="shared" si="14"/>
        <v>0</v>
      </c>
      <c r="M61" s="116">
        <f t="shared" si="15"/>
        <v>0</v>
      </c>
      <c r="N61" s="116">
        <f t="shared" si="16"/>
        <v>58.630500000000005</v>
      </c>
      <c r="O61" s="116">
        <f t="shared" si="17"/>
        <v>34.689600000000006</v>
      </c>
      <c r="P61" s="419">
        <f t="shared" si="18"/>
        <v>1725916.7096999995</v>
      </c>
      <c r="Q61" s="101"/>
      <c r="R61" s="101"/>
    </row>
    <row r="62" spans="1:18" x14ac:dyDescent="0.25">
      <c r="A62" s="388">
        <f t="shared" si="19"/>
        <v>25</v>
      </c>
      <c r="B62" s="234">
        <f t="shared" si="19"/>
        <v>2042</v>
      </c>
      <c r="C62" s="239">
        <v>75</v>
      </c>
      <c r="D62" s="238">
        <v>75</v>
      </c>
      <c r="E62" s="238"/>
      <c r="F62" s="20">
        <f t="shared" si="9"/>
        <v>150</v>
      </c>
      <c r="G62" s="25">
        <v>1</v>
      </c>
      <c r="H62" s="116">
        <f t="shared" si="10"/>
        <v>2700000</v>
      </c>
      <c r="I62" s="116">
        <f t="shared" si="11"/>
        <v>14.3613</v>
      </c>
      <c r="J62" s="116">
        <f t="shared" si="12"/>
        <v>2700000</v>
      </c>
      <c r="K62" s="116">
        <f t="shared" si="13"/>
        <v>9.5795999999999975</v>
      </c>
      <c r="L62" s="116">
        <f t="shared" si="14"/>
        <v>0</v>
      </c>
      <c r="M62" s="116">
        <f t="shared" si="15"/>
        <v>0</v>
      </c>
      <c r="N62" s="116">
        <f t="shared" si="16"/>
        <v>58.630500000000005</v>
      </c>
      <c r="O62" s="116">
        <f t="shared" si="17"/>
        <v>34.689600000000006</v>
      </c>
      <c r="P62" s="419">
        <f t="shared" si="18"/>
        <v>1725916.7096999995</v>
      </c>
      <c r="Q62" s="101"/>
      <c r="R62" s="101"/>
    </row>
    <row r="63" spans="1:18" x14ac:dyDescent="0.25">
      <c r="A63" s="388">
        <f t="shared" si="19"/>
        <v>26</v>
      </c>
      <c r="B63" s="234">
        <f t="shared" si="19"/>
        <v>2043</v>
      </c>
      <c r="C63" s="239">
        <v>75</v>
      </c>
      <c r="D63" s="238">
        <v>75</v>
      </c>
      <c r="E63" s="238"/>
      <c r="F63" s="20">
        <f t="shared" si="9"/>
        <v>150</v>
      </c>
      <c r="G63" s="25">
        <v>1</v>
      </c>
      <c r="H63" s="116">
        <f t="shared" si="10"/>
        <v>2700000</v>
      </c>
      <c r="I63" s="116">
        <f t="shared" si="11"/>
        <v>14.3613</v>
      </c>
      <c r="J63" s="116">
        <f t="shared" si="12"/>
        <v>2700000</v>
      </c>
      <c r="K63" s="116">
        <f t="shared" si="13"/>
        <v>9.5795999999999975</v>
      </c>
      <c r="L63" s="116">
        <f t="shared" si="14"/>
        <v>0</v>
      </c>
      <c r="M63" s="116">
        <f t="shared" si="15"/>
        <v>0</v>
      </c>
      <c r="N63" s="116">
        <f t="shared" si="16"/>
        <v>58.630500000000005</v>
      </c>
      <c r="O63" s="116">
        <f t="shared" si="17"/>
        <v>34.689600000000006</v>
      </c>
      <c r="P63" s="419">
        <f t="shared" si="18"/>
        <v>1725916.7096999995</v>
      </c>
      <c r="Q63" s="101"/>
      <c r="R63" s="101"/>
    </row>
    <row r="64" spans="1:18" x14ac:dyDescent="0.25">
      <c r="A64" s="388">
        <f t="shared" si="19"/>
        <v>27</v>
      </c>
      <c r="B64" s="234">
        <f t="shared" si="19"/>
        <v>2044</v>
      </c>
      <c r="C64" s="239">
        <v>75</v>
      </c>
      <c r="D64" s="238">
        <v>75</v>
      </c>
      <c r="E64" s="238"/>
      <c r="F64" s="20">
        <f t="shared" si="9"/>
        <v>150</v>
      </c>
      <c r="G64" s="25">
        <v>1</v>
      </c>
      <c r="H64" s="116">
        <f t="shared" si="10"/>
        <v>2700000</v>
      </c>
      <c r="I64" s="116">
        <f t="shared" si="11"/>
        <v>14.3613</v>
      </c>
      <c r="J64" s="116">
        <f t="shared" si="12"/>
        <v>2700000</v>
      </c>
      <c r="K64" s="116">
        <f t="shared" si="13"/>
        <v>9.5795999999999975</v>
      </c>
      <c r="L64" s="116">
        <f t="shared" si="14"/>
        <v>0</v>
      </c>
      <c r="M64" s="116">
        <f t="shared" si="15"/>
        <v>0</v>
      </c>
      <c r="N64" s="116">
        <f t="shared" si="16"/>
        <v>58.630500000000005</v>
      </c>
      <c r="O64" s="116">
        <f t="shared" si="17"/>
        <v>34.689600000000006</v>
      </c>
      <c r="P64" s="419">
        <f t="shared" si="18"/>
        <v>1725916.7096999995</v>
      </c>
      <c r="Q64" s="101"/>
      <c r="R64" s="101"/>
    </row>
    <row r="65" spans="1:18" x14ac:dyDescent="0.25">
      <c r="A65" s="388">
        <f t="shared" si="19"/>
        <v>28</v>
      </c>
      <c r="B65" s="234">
        <f t="shared" si="19"/>
        <v>2045</v>
      </c>
      <c r="C65" s="239">
        <v>75</v>
      </c>
      <c r="D65" s="238">
        <v>75</v>
      </c>
      <c r="E65" s="238"/>
      <c r="F65" s="20">
        <f t="shared" si="9"/>
        <v>150</v>
      </c>
      <c r="G65" s="25">
        <v>1</v>
      </c>
      <c r="H65" s="116">
        <f t="shared" si="10"/>
        <v>2700000</v>
      </c>
      <c r="I65" s="116">
        <f t="shared" si="11"/>
        <v>14.3613</v>
      </c>
      <c r="J65" s="116">
        <f t="shared" si="12"/>
        <v>2700000</v>
      </c>
      <c r="K65" s="116">
        <f t="shared" si="13"/>
        <v>9.5795999999999975</v>
      </c>
      <c r="L65" s="116">
        <f t="shared" si="14"/>
        <v>0</v>
      </c>
      <c r="M65" s="116">
        <f t="shared" si="15"/>
        <v>0</v>
      </c>
      <c r="N65" s="116">
        <f t="shared" si="16"/>
        <v>58.630500000000005</v>
      </c>
      <c r="O65" s="116">
        <f t="shared" si="17"/>
        <v>34.689600000000006</v>
      </c>
      <c r="P65" s="419">
        <f t="shared" si="18"/>
        <v>1725916.7096999995</v>
      </c>
      <c r="Q65" s="101"/>
      <c r="R65" s="101"/>
    </row>
    <row r="66" spans="1:18" x14ac:dyDescent="0.25">
      <c r="A66" s="388">
        <f t="shared" si="19"/>
        <v>29</v>
      </c>
      <c r="B66" s="234">
        <f t="shared" si="19"/>
        <v>2046</v>
      </c>
      <c r="C66" s="239">
        <v>75</v>
      </c>
      <c r="D66" s="238">
        <v>75</v>
      </c>
      <c r="E66" s="238"/>
      <c r="F66" s="20">
        <f t="shared" si="9"/>
        <v>150</v>
      </c>
      <c r="G66" s="25">
        <v>1</v>
      </c>
      <c r="H66" s="116">
        <f t="shared" si="10"/>
        <v>2700000</v>
      </c>
      <c r="I66" s="116">
        <f t="shared" si="11"/>
        <v>14.3613</v>
      </c>
      <c r="J66" s="116">
        <f t="shared" si="12"/>
        <v>2700000</v>
      </c>
      <c r="K66" s="116">
        <f t="shared" si="13"/>
        <v>9.5795999999999975</v>
      </c>
      <c r="L66" s="116">
        <f t="shared" si="14"/>
        <v>0</v>
      </c>
      <c r="M66" s="116">
        <f t="shared" si="15"/>
        <v>0</v>
      </c>
      <c r="N66" s="116">
        <f t="shared" si="16"/>
        <v>58.630500000000005</v>
      </c>
      <c r="O66" s="116">
        <f t="shared" si="17"/>
        <v>34.689600000000006</v>
      </c>
      <c r="P66" s="419">
        <f t="shared" si="18"/>
        <v>1725916.7096999995</v>
      </c>
      <c r="Q66" s="101"/>
      <c r="R66" s="101"/>
    </row>
    <row r="67" spans="1:18" x14ac:dyDescent="0.25">
      <c r="A67" s="388">
        <f t="shared" si="19"/>
        <v>30</v>
      </c>
      <c r="B67" s="234">
        <f t="shared" si="19"/>
        <v>2047</v>
      </c>
      <c r="C67" s="239">
        <v>75</v>
      </c>
      <c r="D67" s="238">
        <v>75</v>
      </c>
      <c r="E67" s="238"/>
      <c r="F67" s="20">
        <f t="shared" si="9"/>
        <v>150</v>
      </c>
      <c r="G67" s="25">
        <v>1</v>
      </c>
      <c r="H67" s="116">
        <f t="shared" si="10"/>
        <v>2700000</v>
      </c>
      <c r="I67" s="116">
        <f t="shared" si="11"/>
        <v>14.3613</v>
      </c>
      <c r="J67" s="116">
        <f t="shared" si="12"/>
        <v>2700000</v>
      </c>
      <c r="K67" s="116">
        <f t="shared" si="13"/>
        <v>9.5795999999999975</v>
      </c>
      <c r="L67" s="116">
        <f t="shared" si="14"/>
        <v>0</v>
      </c>
      <c r="M67" s="116">
        <f t="shared" si="15"/>
        <v>0</v>
      </c>
      <c r="N67" s="116">
        <f t="shared" si="16"/>
        <v>58.630500000000005</v>
      </c>
      <c r="O67" s="116">
        <f t="shared" si="17"/>
        <v>34.689600000000006</v>
      </c>
      <c r="P67" s="419">
        <f t="shared" si="18"/>
        <v>1725916.7096999995</v>
      </c>
      <c r="Q67" s="101"/>
      <c r="R67" s="101"/>
    </row>
    <row r="68" spans="1:18" x14ac:dyDescent="0.25">
      <c r="A68" s="388">
        <f t="shared" si="19"/>
        <v>31</v>
      </c>
      <c r="B68" s="234">
        <f t="shared" si="19"/>
        <v>2048</v>
      </c>
      <c r="C68" s="239">
        <v>75</v>
      </c>
      <c r="D68" s="238">
        <v>75</v>
      </c>
      <c r="E68" s="238"/>
      <c r="F68" s="20">
        <f t="shared" si="9"/>
        <v>150</v>
      </c>
      <c r="G68" s="25">
        <v>1</v>
      </c>
      <c r="H68" s="116">
        <f t="shared" si="10"/>
        <v>2700000</v>
      </c>
      <c r="I68" s="116">
        <f t="shared" si="11"/>
        <v>14.3613</v>
      </c>
      <c r="J68" s="116">
        <f t="shared" si="12"/>
        <v>2700000</v>
      </c>
      <c r="K68" s="116">
        <f t="shared" si="13"/>
        <v>9.5795999999999975</v>
      </c>
      <c r="L68" s="116">
        <f t="shared" si="14"/>
        <v>0</v>
      </c>
      <c r="M68" s="116">
        <f t="shared" si="15"/>
        <v>0</v>
      </c>
      <c r="N68" s="116">
        <f t="shared" si="16"/>
        <v>58.630500000000005</v>
      </c>
      <c r="O68" s="116">
        <f t="shared" si="17"/>
        <v>34.689600000000006</v>
      </c>
      <c r="P68" s="419">
        <f t="shared" si="18"/>
        <v>1725916.7096999995</v>
      </c>
      <c r="Q68" s="101"/>
      <c r="R68" s="101"/>
    </row>
    <row r="69" spans="1:18" x14ac:dyDescent="0.25">
      <c r="A69" s="388">
        <f t="shared" si="19"/>
        <v>32</v>
      </c>
      <c r="B69" s="234">
        <f t="shared" si="19"/>
        <v>2049</v>
      </c>
      <c r="C69" s="239">
        <v>75</v>
      </c>
      <c r="D69" s="238">
        <v>75</v>
      </c>
      <c r="E69" s="238"/>
      <c r="F69" s="20">
        <f t="shared" si="9"/>
        <v>150</v>
      </c>
      <c r="G69" s="25">
        <v>1</v>
      </c>
      <c r="H69" s="116">
        <f t="shared" si="10"/>
        <v>2700000</v>
      </c>
      <c r="I69" s="116">
        <f t="shared" si="11"/>
        <v>14.3613</v>
      </c>
      <c r="J69" s="116">
        <f t="shared" si="12"/>
        <v>2700000</v>
      </c>
      <c r="K69" s="116">
        <f t="shared" si="13"/>
        <v>9.5795999999999975</v>
      </c>
      <c r="L69" s="116">
        <f t="shared" si="14"/>
        <v>0</v>
      </c>
      <c r="M69" s="116">
        <f t="shared" si="15"/>
        <v>0</v>
      </c>
      <c r="N69" s="116">
        <f t="shared" si="16"/>
        <v>58.630500000000005</v>
      </c>
      <c r="O69" s="116">
        <f t="shared" si="17"/>
        <v>34.689600000000006</v>
      </c>
      <c r="P69" s="419">
        <f t="shared" si="18"/>
        <v>1725916.7096999995</v>
      </c>
      <c r="Q69" s="101"/>
      <c r="R69" s="101"/>
    </row>
    <row r="70" spans="1:18" x14ac:dyDescent="0.25">
      <c r="A70" s="388">
        <f t="shared" si="19"/>
        <v>33</v>
      </c>
      <c r="B70" s="234">
        <f t="shared" si="19"/>
        <v>2050</v>
      </c>
      <c r="C70" s="239">
        <v>75</v>
      </c>
      <c r="D70" s="238">
        <v>75</v>
      </c>
      <c r="E70" s="238"/>
      <c r="F70" s="20">
        <f t="shared" si="9"/>
        <v>150</v>
      </c>
      <c r="G70" s="25">
        <v>1</v>
      </c>
      <c r="H70" s="116">
        <f t="shared" si="10"/>
        <v>2700000</v>
      </c>
      <c r="I70" s="116">
        <f t="shared" si="11"/>
        <v>14.3613</v>
      </c>
      <c r="J70" s="116">
        <f t="shared" si="12"/>
        <v>2700000</v>
      </c>
      <c r="K70" s="116">
        <f t="shared" si="13"/>
        <v>9.5795999999999975</v>
      </c>
      <c r="L70" s="116">
        <f t="shared" si="14"/>
        <v>0</v>
      </c>
      <c r="M70" s="116">
        <f t="shared" si="15"/>
        <v>0</v>
      </c>
      <c r="N70" s="116">
        <f t="shared" si="16"/>
        <v>58.630500000000005</v>
      </c>
      <c r="O70" s="116">
        <f t="shared" si="17"/>
        <v>34.689600000000006</v>
      </c>
      <c r="P70" s="419">
        <f t="shared" si="18"/>
        <v>1725916.7096999995</v>
      </c>
      <c r="Q70" s="101"/>
      <c r="R70" s="101"/>
    </row>
    <row r="71" spans="1:18" x14ac:dyDescent="0.25">
      <c r="A71" s="388">
        <f t="shared" si="19"/>
        <v>34</v>
      </c>
      <c r="B71" s="234">
        <f t="shared" si="19"/>
        <v>2051</v>
      </c>
      <c r="C71" s="239">
        <v>75</v>
      </c>
      <c r="D71" s="238">
        <v>75</v>
      </c>
      <c r="E71" s="238"/>
      <c r="F71" s="20">
        <f t="shared" si="9"/>
        <v>150</v>
      </c>
      <c r="G71" s="25">
        <v>1</v>
      </c>
      <c r="H71" s="116">
        <f t="shared" si="10"/>
        <v>2700000</v>
      </c>
      <c r="I71" s="116">
        <f t="shared" si="11"/>
        <v>14.3613</v>
      </c>
      <c r="J71" s="116">
        <f t="shared" si="12"/>
        <v>2700000</v>
      </c>
      <c r="K71" s="116">
        <f t="shared" si="13"/>
        <v>9.5795999999999975</v>
      </c>
      <c r="L71" s="116">
        <f t="shared" si="14"/>
        <v>0</v>
      </c>
      <c r="M71" s="116">
        <f t="shared" si="15"/>
        <v>0</v>
      </c>
      <c r="N71" s="116">
        <f t="shared" si="16"/>
        <v>58.630500000000005</v>
      </c>
      <c r="O71" s="116">
        <f t="shared" si="17"/>
        <v>34.689600000000006</v>
      </c>
      <c r="P71" s="419">
        <f t="shared" si="18"/>
        <v>1725916.7096999995</v>
      </c>
      <c r="Q71" s="101"/>
      <c r="R71" s="101"/>
    </row>
    <row r="72" spans="1:18" x14ac:dyDescent="0.25">
      <c r="A72" s="388">
        <f t="shared" si="19"/>
        <v>35</v>
      </c>
      <c r="B72" s="234">
        <f t="shared" si="19"/>
        <v>2052</v>
      </c>
      <c r="C72" s="239">
        <v>75</v>
      </c>
      <c r="D72" s="238">
        <v>75</v>
      </c>
      <c r="E72" s="238"/>
      <c r="F72" s="20">
        <f t="shared" si="9"/>
        <v>150</v>
      </c>
      <c r="G72" s="25">
        <v>1</v>
      </c>
      <c r="H72" s="116">
        <f t="shared" si="10"/>
        <v>2700000</v>
      </c>
      <c r="I72" s="116">
        <f t="shared" si="11"/>
        <v>14.3613</v>
      </c>
      <c r="J72" s="116">
        <f t="shared" si="12"/>
        <v>2700000</v>
      </c>
      <c r="K72" s="116">
        <f t="shared" si="13"/>
        <v>9.5795999999999975</v>
      </c>
      <c r="L72" s="116">
        <f t="shared" si="14"/>
        <v>0</v>
      </c>
      <c r="M72" s="116">
        <f t="shared" si="15"/>
        <v>0</v>
      </c>
      <c r="N72" s="116">
        <f t="shared" si="16"/>
        <v>58.630500000000005</v>
      </c>
      <c r="O72" s="116">
        <f t="shared" si="17"/>
        <v>34.689600000000006</v>
      </c>
      <c r="P72" s="419">
        <f t="shared" si="18"/>
        <v>1725916.7096999995</v>
      </c>
      <c r="Q72" s="101"/>
      <c r="R72" s="101"/>
    </row>
    <row r="73" spans="1:18" x14ac:dyDescent="0.25">
      <c r="A73" s="388">
        <f t="shared" si="19"/>
        <v>36</v>
      </c>
      <c r="B73" s="234">
        <f t="shared" si="19"/>
        <v>2053</v>
      </c>
      <c r="C73" s="239">
        <v>75</v>
      </c>
      <c r="D73" s="238">
        <v>75</v>
      </c>
      <c r="E73" s="238"/>
      <c r="F73" s="20">
        <f t="shared" si="9"/>
        <v>150</v>
      </c>
      <c r="G73" s="25">
        <v>1</v>
      </c>
      <c r="H73" s="116">
        <f t="shared" si="10"/>
        <v>2700000</v>
      </c>
      <c r="I73" s="116">
        <f t="shared" si="11"/>
        <v>14.3613</v>
      </c>
      <c r="J73" s="116">
        <f t="shared" si="12"/>
        <v>2700000</v>
      </c>
      <c r="K73" s="116">
        <f t="shared" si="13"/>
        <v>9.5795999999999975</v>
      </c>
      <c r="L73" s="116">
        <f t="shared" si="14"/>
        <v>0</v>
      </c>
      <c r="M73" s="116">
        <f t="shared" si="15"/>
        <v>0</v>
      </c>
      <c r="N73" s="116">
        <f t="shared" si="16"/>
        <v>58.630500000000005</v>
      </c>
      <c r="O73" s="116">
        <f t="shared" si="17"/>
        <v>34.689600000000006</v>
      </c>
      <c r="P73" s="419">
        <f t="shared" si="18"/>
        <v>1725916.7096999995</v>
      </c>
      <c r="Q73" s="101"/>
      <c r="R73" s="101"/>
    </row>
    <row r="74" spans="1:18" x14ac:dyDescent="0.25">
      <c r="A74" s="388">
        <f t="shared" si="19"/>
        <v>37</v>
      </c>
      <c r="B74" s="234">
        <f t="shared" si="19"/>
        <v>2054</v>
      </c>
      <c r="C74" s="239">
        <v>75</v>
      </c>
      <c r="D74" s="238">
        <v>75</v>
      </c>
      <c r="E74" s="238"/>
      <c r="F74" s="20">
        <f t="shared" si="9"/>
        <v>150</v>
      </c>
      <c r="G74" s="25">
        <v>1</v>
      </c>
      <c r="H74" s="116">
        <f t="shared" si="10"/>
        <v>2700000</v>
      </c>
      <c r="I74" s="116">
        <f t="shared" si="11"/>
        <v>14.3613</v>
      </c>
      <c r="J74" s="116">
        <f t="shared" si="12"/>
        <v>2700000</v>
      </c>
      <c r="K74" s="116">
        <f t="shared" si="13"/>
        <v>9.5795999999999975</v>
      </c>
      <c r="L74" s="116">
        <f t="shared" si="14"/>
        <v>0</v>
      </c>
      <c r="M74" s="116">
        <f t="shared" si="15"/>
        <v>0</v>
      </c>
      <c r="N74" s="116">
        <f t="shared" si="16"/>
        <v>58.630500000000005</v>
      </c>
      <c r="O74" s="116">
        <f t="shared" si="17"/>
        <v>34.689600000000006</v>
      </c>
      <c r="P74" s="419">
        <f t="shared" si="18"/>
        <v>1725916.7096999995</v>
      </c>
      <c r="Q74" s="101"/>
      <c r="R74" s="101"/>
    </row>
    <row r="75" spans="1:18" x14ac:dyDescent="0.25">
      <c r="A75" s="388">
        <f t="shared" si="19"/>
        <v>38</v>
      </c>
      <c r="B75" s="234">
        <f t="shared" si="19"/>
        <v>2055</v>
      </c>
      <c r="C75" s="239">
        <v>75</v>
      </c>
      <c r="D75" s="238">
        <v>75</v>
      </c>
      <c r="E75" s="238"/>
      <c r="F75" s="20">
        <f t="shared" si="9"/>
        <v>150</v>
      </c>
      <c r="G75" s="25">
        <v>1</v>
      </c>
      <c r="H75" s="116">
        <f t="shared" si="10"/>
        <v>2700000</v>
      </c>
      <c r="I75" s="116">
        <f t="shared" si="11"/>
        <v>14.3613</v>
      </c>
      <c r="J75" s="116">
        <f t="shared" si="12"/>
        <v>2700000</v>
      </c>
      <c r="K75" s="116">
        <f t="shared" si="13"/>
        <v>9.5795999999999975</v>
      </c>
      <c r="L75" s="116">
        <f t="shared" si="14"/>
        <v>0</v>
      </c>
      <c r="M75" s="116">
        <f t="shared" si="15"/>
        <v>0</v>
      </c>
      <c r="N75" s="116">
        <f t="shared" si="16"/>
        <v>58.630500000000005</v>
      </c>
      <c r="O75" s="116">
        <f t="shared" si="17"/>
        <v>34.689600000000006</v>
      </c>
      <c r="P75" s="419">
        <f t="shared" si="18"/>
        <v>1725916.7096999995</v>
      </c>
      <c r="Q75" s="101"/>
      <c r="R75" s="101"/>
    </row>
    <row r="76" spans="1:18" x14ac:dyDescent="0.25">
      <c r="A76" s="388">
        <f t="shared" si="19"/>
        <v>39</v>
      </c>
      <c r="B76" s="234">
        <f t="shared" si="19"/>
        <v>2056</v>
      </c>
      <c r="C76" s="239">
        <v>75</v>
      </c>
      <c r="D76" s="238">
        <v>75</v>
      </c>
      <c r="E76" s="238"/>
      <c r="F76" s="20">
        <f t="shared" si="9"/>
        <v>150</v>
      </c>
      <c r="G76" s="25">
        <v>1</v>
      </c>
      <c r="H76" s="116">
        <f t="shared" si="10"/>
        <v>2700000</v>
      </c>
      <c r="I76" s="116">
        <f t="shared" si="11"/>
        <v>14.3613</v>
      </c>
      <c r="J76" s="116">
        <f t="shared" si="12"/>
        <v>2700000</v>
      </c>
      <c r="K76" s="116">
        <f t="shared" si="13"/>
        <v>9.5795999999999975</v>
      </c>
      <c r="L76" s="116">
        <f t="shared" si="14"/>
        <v>0</v>
      </c>
      <c r="M76" s="116">
        <f t="shared" si="15"/>
        <v>0</v>
      </c>
      <c r="N76" s="116">
        <f t="shared" si="16"/>
        <v>58.630500000000005</v>
      </c>
      <c r="O76" s="116">
        <f t="shared" si="17"/>
        <v>34.689600000000006</v>
      </c>
      <c r="P76" s="419">
        <f t="shared" si="18"/>
        <v>1725916.7096999995</v>
      </c>
      <c r="Q76" s="101"/>
      <c r="R76" s="101"/>
    </row>
    <row r="77" spans="1:18" x14ac:dyDescent="0.25">
      <c r="A77" s="275">
        <f t="shared" si="19"/>
        <v>40</v>
      </c>
      <c r="B77" s="235">
        <f t="shared" si="19"/>
        <v>2057</v>
      </c>
      <c r="C77" s="239">
        <v>75</v>
      </c>
      <c r="D77" s="238">
        <v>75</v>
      </c>
      <c r="E77" s="238"/>
      <c r="F77" s="20">
        <f t="shared" si="9"/>
        <v>150</v>
      </c>
      <c r="G77" s="25">
        <v>1</v>
      </c>
      <c r="H77" s="116">
        <f t="shared" si="10"/>
        <v>2700000</v>
      </c>
      <c r="I77" s="116">
        <f t="shared" si="11"/>
        <v>14.3613</v>
      </c>
      <c r="J77" s="116">
        <f t="shared" si="12"/>
        <v>2700000</v>
      </c>
      <c r="K77" s="116">
        <f t="shared" si="13"/>
        <v>9.5795999999999975</v>
      </c>
      <c r="L77" s="116">
        <f t="shared" si="14"/>
        <v>0</v>
      </c>
      <c r="M77" s="116">
        <f t="shared" si="15"/>
        <v>0</v>
      </c>
      <c r="N77" s="116">
        <f t="shared" si="16"/>
        <v>58.630500000000005</v>
      </c>
      <c r="O77" s="420">
        <f t="shared" si="17"/>
        <v>34.689600000000006</v>
      </c>
      <c r="P77" s="419">
        <f t="shared" si="18"/>
        <v>1725916.7096999995</v>
      </c>
      <c r="Q77" s="101"/>
      <c r="R77" s="101"/>
    </row>
    <row r="78" spans="1:18" x14ac:dyDescent="0.25">
      <c r="A78" s="46"/>
      <c r="B78" s="421"/>
      <c r="C78" s="48" t="s">
        <v>26</v>
      </c>
      <c r="D78" s="48"/>
      <c r="E78" s="48"/>
      <c r="F78" s="49">
        <f>F77</f>
        <v>150</v>
      </c>
      <c r="G78" s="50"/>
      <c r="H78" s="422">
        <f>SUM(H38:H77)</f>
        <v>103176000</v>
      </c>
      <c r="I78" s="422">
        <f>SUM(I38:I77)</f>
        <v>548.79314400000055</v>
      </c>
      <c r="J78" s="422"/>
      <c r="K78" s="422"/>
      <c r="L78" s="422"/>
      <c r="M78" s="422"/>
      <c r="N78" s="422">
        <f>SUM(N38:N77)</f>
        <v>2240.4668400000005</v>
      </c>
      <c r="O78" s="423">
        <f>SUM(O38:O77)</f>
        <v>1381.0391999999999</v>
      </c>
      <c r="P78" s="424">
        <f>SUM(P38:P77)</f>
        <v>61155807.059664041</v>
      </c>
      <c r="Q78" s="105"/>
      <c r="R78" s="105"/>
    </row>
    <row r="79" spans="1:18" x14ac:dyDescent="0.25">
      <c r="A79" s="388"/>
      <c r="B79" s="24"/>
      <c r="C79" s="145"/>
      <c r="D79" s="145"/>
      <c r="E79" s="145"/>
      <c r="F79" s="146"/>
      <c r="G79" s="68"/>
      <c r="H79" s="108"/>
      <c r="I79" s="108"/>
      <c r="J79" s="108"/>
      <c r="K79" s="108"/>
      <c r="L79" s="108"/>
      <c r="M79" s="108"/>
      <c r="N79" s="108"/>
      <c r="O79" s="276" t="s">
        <v>4</v>
      </c>
      <c r="P79" s="425">
        <f>NPV(Q79,P38:P77)</f>
        <v>17094413.628330942</v>
      </c>
      <c r="Q79" s="160">
        <v>7.0000000000000007E-2</v>
      </c>
      <c r="R79" s="109"/>
    </row>
    <row r="80" spans="1:18" x14ac:dyDescent="0.25">
      <c r="A80" s="388"/>
      <c r="B80" s="24"/>
      <c r="C80" s="145"/>
      <c r="D80" s="145"/>
      <c r="E80" s="145"/>
      <c r="F80" s="146"/>
      <c r="G80" s="68"/>
      <c r="H80" s="108"/>
      <c r="I80" s="108"/>
      <c r="J80" s="108"/>
      <c r="K80" s="108"/>
      <c r="L80" s="108"/>
      <c r="M80" s="108"/>
      <c r="N80" s="108"/>
      <c r="O80" s="29"/>
      <c r="Q80" s="109"/>
      <c r="R80" s="109"/>
    </row>
    <row r="81" spans="1:34" x14ac:dyDescent="0.25">
      <c r="A81" s="388"/>
      <c r="B81" s="24"/>
      <c r="C81" s="145"/>
      <c r="D81" s="145"/>
      <c r="E81" s="145"/>
      <c r="F81" s="146"/>
      <c r="G81" s="68"/>
      <c r="H81" s="108"/>
      <c r="I81" s="108"/>
      <c r="J81" s="108"/>
      <c r="K81" s="108"/>
      <c r="L81" s="108"/>
      <c r="M81" s="108"/>
      <c r="N81" s="108"/>
      <c r="O81" s="29"/>
      <c r="P81" s="109"/>
      <c r="Q81" s="109"/>
      <c r="R81" s="109"/>
    </row>
    <row r="82" spans="1:34" x14ac:dyDescent="0.25">
      <c r="A82" s="65" t="s">
        <v>371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</row>
    <row r="83" spans="1:34" ht="18.75" x14ac:dyDescent="0.35">
      <c r="B83" s="18" t="s">
        <v>10</v>
      </c>
      <c r="C83" s="19"/>
      <c r="D83" s="19"/>
      <c r="E83" s="19"/>
      <c r="F83" s="20"/>
      <c r="G83" t="s">
        <v>11</v>
      </c>
      <c r="N83" t="s">
        <v>257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s="64" customFormat="1" x14ac:dyDescent="0.25">
      <c r="A84"/>
      <c r="B84" s="18"/>
      <c r="C84" s="19"/>
      <c r="D84" s="19"/>
      <c r="E84" s="19"/>
      <c r="F84" s="20"/>
      <c r="G84"/>
      <c r="H84" s="23" t="s">
        <v>35</v>
      </c>
      <c r="I84"/>
      <c r="J84"/>
      <c r="K84"/>
      <c r="L84"/>
      <c r="M84"/>
      <c r="N84" s="388">
        <f>I3</f>
        <v>4.66</v>
      </c>
      <c r="O84" t="s">
        <v>36</v>
      </c>
      <c r="P84"/>
      <c r="Q84"/>
      <c r="R84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s="6" customFormat="1" x14ac:dyDescent="0.25">
      <c r="A85"/>
      <c r="B85" s="18" t="s">
        <v>12</v>
      </c>
      <c r="C85" s="22">
        <f>C4</f>
        <v>2.27</v>
      </c>
      <c r="D85" s="22"/>
      <c r="E85" s="22"/>
      <c r="F85" s="20"/>
      <c r="G85"/>
      <c r="H85" s="23" t="s">
        <v>35</v>
      </c>
      <c r="I85" s="23"/>
      <c r="J85" s="23"/>
      <c r="K85" s="23"/>
      <c r="L85" s="23"/>
      <c r="M85" s="23"/>
      <c r="N85" s="388">
        <f>I4</f>
        <v>4.34</v>
      </c>
      <c r="O85" t="s">
        <v>7</v>
      </c>
      <c r="P85"/>
      <c r="Q85"/>
      <c r="R85"/>
    </row>
    <row r="86" spans="1:34" s="6" customFormat="1" x14ac:dyDescent="0.25">
      <c r="A86"/>
      <c r="B86" s="18" t="s">
        <v>360</v>
      </c>
      <c r="C86" s="22">
        <f>C6</f>
        <v>3.34</v>
      </c>
      <c r="D86" s="22"/>
      <c r="E86" s="22"/>
      <c r="F86" s="20"/>
      <c r="G86"/>
      <c r="H86" s="23" t="s">
        <v>35</v>
      </c>
      <c r="N86" s="426">
        <f>I5</f>
        <v>16.032</v>
      </c>
      <c r="O86" s="6" t="s">
        <v>356</v>
      </c>
      <c r="P86"/>
      <c r="Q86"/>
      <c r="R86"/>
    </row>
    <row r="87" spans="1:34" s="6" customFormat="1" x14ac:dyDescent="0.25">
      <c r="A87"/>
      <c r="B87" s="18" t="s">
        <v>13</v>
      </c>
      <c r="C87" s="253">
        <f>C5</f>
        <v>1.04</v>
      </c>
      <c r="D87" s="253"/>
      <c r="E87" s="253"/>
      <c r="F87" s="20"/>
      <c r="G87"/>
      <c r="H87" s="23" t="s">
        <v>35</v>
      </c>
      <c r="I87" s="23"/>
      <c r="J87" s="23"/>
      <c r="K87" s="23"/>
      <c r="L87" s="23"/>
      <c r="M87" s="23"/>
      <c r="N87" s="388">
        <f>I6</f>
        <v>5.33</v>
      </c>
      <c r="O87" t="s">
        <v>361</v>
      </c>
      <c r="P87"/>
      <c r="Q87"/>
      <c r="R87"/>
    </row>
    <row r="88" spans="1:34" s="6" customFormat="1" x14ac:dyDescent="0.25">
      <c r="A88" s="14"/>
      <c r="H88" s="23" t="s">
        <v>37</v>
      </c>
      <c r="I88" s="23"/>
      <c r="J88" s="23"/>
      <c r="K88" s="23"/>
      <c r="L88" s="23"/>
      <c r="M88" s="23"/>
      <c r="N88" s="388">
        <v>36000</v>
      </c>
      <c r="O88" t="s">
        <v>14</v>
      </c>
      <c r="S88"/>
      <c r="T88"/>
    </row>
    <row r="89" spans="1:34" s="6" customFormat="1" x14ac:dyDescent="0.25">
      <c r="A89" s="427" t="str">
        <f>'[1]Economic Competitiveness'!A304</f>
        <v>Assuption - Bus Replacement Schedule Rev 33, added 24 begin ops in 2013, 23 in 2016, 37 in 2017 and 36 in 2018.</v>
      </c>
      <c r="B89" s="24"/>
      <c r="C89" s="19"/>
      <c r="D89" s="19"/>
      <c r="E89" s="19"/>
      <c r="F89" s="20"/>
      <c r="G89"/>
      <c r="H89"/>
      <c r="I89"/>
      <c r="J89"/>
      <c r="K89"/>
      <c r="L89"/>
      <c r="M89"/>
      <c r="N89"/>
      <c r="O89"/>
      <c r="P89" s="8"/>
      <c r="Q89" s="13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6.5" x14ac:dyDescent="0.3">
      <c r="A90" s="460" t="s">
        <v>385</v>
      </c>
      <c r="B90" s="277"/>
      <c r="C90" s="278"/>
      <c r="D90" s="428"/>
      <c r="E90" s="429" t="s">
        <v>362</v>
      </c>
      <c r="F90" s="279"/>
      <c r="G90" s="280"/>
      <c r="H90" s="281" t="s">
        <v>256</v>
      </c>
      <c r="I90" s="281" t="s">
        <v>256</v>
      </c>
      <c r="J90" s="430" t="s">
        <v>363</v>
      </c>
      <c r="K90" s="281" t="s">
        <v>363</v>
      </c>
      <c r="L90" s="430" t="s">
        <v>361</v>
      </c>
      <c r="M90" s="430" t="s">
        <v>361</v>
      </c>
      <c r="N90" s="281" t="s">
        <v>266</v>
      </c>
      <c r="O90" s="281" t="s">
        <v>268</v>
      </c>
      <c r="P90" s="281" t="s">
        <v>269</v>
      </c>
      <c r="Q90" s="431" t="s">
        <v>372</v>
      </c>
    </row>
    <row r="91" spans="1:34" s="15" customFormat="1" ht="31.5" x14ac:dyDescent="0.25">
      <c r="A91" s="453" t="s">
        <v>191</v>
      </c>
      <c r="B91" s="454" t="s">
        <v>21</v>
      </c>
      <c r="C91" s="455" t="s">
        <v>22</v>
      </c>
      <c r="D91" s="456" t="s">
        <v>369</v>
      </c>
      <c r="E91" s="456" t="s">
        <v>370</v>
      </c>
      <c r="F91" s="455" t="s">
        <v>23</v>
      </c>
      <c r="G91" s="455" t="s">
        <v>24</v>
      </c>
      <c r="H91" s="457" t="s">
        <v>267</v>
      </c>
      <c r="I91" s="457" t="s">
        <v>373</v>
      </c>
      <c r="J91" s="458" t="s">
        <v>267</v>
      </c>
      <c r="K91" s="457" t="s">
        <v>373</v>
      </c>
      <c r="L91" s="458" t="s">
        <v>267</v>
      </c>
      <c r="M91" s="457" t="s">
        <v>373</v>
      </c>
      <c r="N91" s="457" t="s">
        <v>30</v>
      </c>
      <c r="O91" s="457" t="s">
        <v>265</v>
      </c>
      <c r="P91" s="457" t="s">
        <v>25</v>
      </c>
      <c r="Q91" s="459"/>
    </row>
    <row r="92" spans="1:34" x14ac:dyDescent="0.25">
      <c r="A92">
        <v>1</v>
      </c>
      <c r="B92" s="234">
        <v>2018</v>
      </c>
      <c r="C92" s="20">
        <f t="shared" ref="C92:C131" si="20">C38</f>
        <v>47</v>
      </c>
      <c r="D92" s="20"/>
      <c r="E92" s="20"/>
      <c r="F92" s="20">
        <f t="shared" ref="F92:F131" si="21">C92+D92+E92</f>
        <v>47</v>
      </c>
      <c r="G92" s="25">
        <v>1</v>
      </c>
      <c r="H92" s="116">
        <f>C92*G92*I$7</f>
        <v>1692000</v>
      </c>
      <c r="I92" s="116">
        <f t="shared" ref="I92:I131" si="22">(H92*1667.337)/1000000</f>
        <v>2821.134204</v>
      </c>
      <c r="J92" s="116">
        <f t="shared" ref="J92:J100" si="23">D92*G92*I$7</f>
        <v>0</v>
      </c>
      <c r="K92" s="116">
        <f t="shared" ref="K92:K131" si="24">(J92*1710.358)/1000000</f>
        <v>0</v>
      </c>
      <c r="L92" s="116">
        <f t="shared" ref="L92:L97" si="25">E92*G92*I$7</f>
        <v>0</v>
      </c>
      <c r="M92" s="116">
        <f t="shared" ref="M92:M131" si="26">(L92*1915.572)/1000000</f>
        <v>0</v>
      </c>
      <c r="N92" s="116">
        <f t="shared" ref="N92:N131" si="27">F92*G92*N$88/N$84</f>
        <v>363090.1287553648</v>
      </c>
      <c r="O92" s="116">
        <f t="shared" ref="O92:O131" si="28">N92*10.21/1000</f>
        <v>3707.1502145922746</v>
      </c>
      <c r="P92" s="29">
        <f t="shared" ref="P92:P131" si="29">O92-I92-K92-M92</f>
        <v>886.0160105922746</v>
      </c>
      <c r="Q92" s="419">
        <f>P92*23.3</f>
        <v>20644.173046799999</v>
      </c>
    </row>
    <row r="93" spans="1:34" x14ac:dyDescent="0.25">
      <c r="A93">
        <f t="shared" ref="A93:B131" si="30">A92+1</f>
        <v>2</v>
      </c>
      <c r="B93" s="234">
        <f t="shared" si="30"/>
        <v>2019</v>
      </c>
      <c r="C93" s="20">
        <f t="shared" si="20"/>
        <v>47</v>
      </c>
      <c r="D93" s="20">
        <f t="shared" ref="D93:D131" si="31">D39</f>
        <v>2</v>
      </c>
      <c r="E93" s="20"/>
      <c r="F93" s="20">
        <f t="shared" si="21"/>
        <v>49</v>
      </c>
      <c r="G93" s="25">
        <v>1</v>
      </c>
      <c r="H93" s="116">
        <f>C93*G93*I$7</f>
        <v>1692000</v>
      </c>
      <c r="I93" s="116">
        <f t="shared" si="22"/>
        <v>2821.134204</v>
      </c>
      <c r="J93" s="116">
        <f t="shared" si="23"/>
        <v>72000</v>
      </c>
      <c r="K93" s="116">
        <f t="shared" si="24"/>
        <v>123.145776</v>
      </c>
      <c r="L93" s="116">
        <f t="shared" si="25"/>
        <v>0</v>
      </c>
      <c r="M93" s="116">
        <f t="shared" si="26"/>
        <v>0</v>
      </c>
      <c r="N93" s="116">
        <f t="shared" si="27"/>
        <v>378540.77253218886</v>
      </c>
      <c r="O93" s="116">
        <f t="shared" si="28"/>
        <v>3864.9012875536487</v>
      </c>
      <c r="P93" s="29">
        <f t="shared" si="29"/>
        <v>920.62130755364876</v>
      </c>
      <c r="Q93" s="419">
        <f>P93*23.8</f>
        <v>21910.78711977684</v>
      </c>
    </row>
    <row r="94" spans="1:34" x14ac:dyDescent="0.25">
      <c r="A94">
        <f t="shared" si="30"/>
        <v>3</v>
      </c>
      <c r="B94" s="234">
        <f t="shared" si="30"/>
        <v>2020</v>
      </c>
      <c r="C94" s="20">
        <f t="shared" si="20"/>
        <v>47</v>
      </c>
      <c r="D94" s="20">
        <f t="shared" si="31"/>
        <v>5</v>
      </c>
      <c r="E94" s="20">
        <f t="shared" ref="E94:E131" si="32">E40</f>
        <v>0</v>
      </c>
      <c r="F94" s="20">
        <f t="shared" si="21"/>
        <v>52</v>
      </c>
      <c r="G94" s="25">
        <v>1</v>
      </c>
      <c r="H94" s="116">
        <f>C94*G94*I$7</f>
        <v>1692000</v>
      </c>
      <c r="I94" s="116">
        <f t="shared" si="22"/>
        <v>2821.134204</v>
      </c>
      <c r="J94" s="116">
        <f t="shared" si="23"/>
        <v>180000</v>
      </c>
      <c r="K94" s="116">
        <f t="shared" si="24"/>
        <v>307.86444</v>
      </c>
      <c r="L94" s="116">
        <f t="shared" si="25"/>
        <v>0</v>
      </c>
      <c r="M94" s="116">
        <f t="shared" si="26"/>
        <v>0</v>
      </c>
      <c r="N94" s="116">
        <f t="shared" si="27"/>
        <v>401716.73819742486</v>
      </c>
      <c r="O94" s="116">
        <f t="shared" si="28"/>
        <v>4101.527896995708</v>
      </c>
      <c r="P94" s="29">
        <f t="shared" si="29"/>
        <v>972.52925299570802</v>
      </c>
      <c r="Q94" s="419">
        <f>P94*24.3</f>
        <v>23632.460847795704</v>
      </c>
    </row>
    <row r="95" spans="1:34" x14ac:dyDescent="0.25">
      <c r="A95">
        <f t="shared" si="30"/>
        <v>4</v>
      </c>
      <c r="B95" s="234">
        <f t="shared" si="30"/>
        <v>2021</v>
      </c>
      <c r="C95" s="20">
        <f t="shared" si="20"/>
        <v>50</v>
      </c>
      <c r="D95" s="20">
        <f t="shared" si="31"/>
        <v>10</v>
      </c>
      <c r="E95" s="20">
        <f t="shared" si="32"/>
        <v>0</v>
      </c>
      <c r="F95" s="20">
        <f t="shared" si="21"/>
        <v>60</v>
      </c>
      <c r="G95" s="25">
        <v>1</v>
      </c>
      <c r="H95" s="116">
        <f>C95*G95*I$7</f>
        <v>1800000</v>
      </c>
      <c r="I95" s="116">
        <f t="shared" si="22"/>
        <v>3001.2066</v>
      </c>
      <c r="J95" s="116">
        <f t="shared" si="23"/>
        <v>360000</v>
      </c>
      <c r="K95" s="116">
        <f t="shared" si="24"/>
        <v>615.72888</v>
      </c>
      <c r="L95" s="116">
        <f t="shared" si="25"/>
        <v>0</v>
      </c>
      <c r="M95" s="116">
        <f t="shared" si="26"/>
        <v>0</v>
      </c>
      <c r="N95" s="116">
        <f t="shared" si="27"/>
        <v>463519.31330472103</v>
      </c>
      <c r="O95" s="116">
        <f t="shared" si="28"/>
        <v>4732.5321888412027</v>
      </c>
      <c r="P95" s="29">
        <f t="shared" si="29"/>
        <v>1115.5967088412026</v>
      </c>
      <c r="Q95" s="419">
        <f>P95*24.8</f>
        <v>27666.798379261825</v>
      </c>
    </row>
    <row r="96" spans="1:34" x14ac:dyDescent="0.25">
      <c r="A96">
        <f t="shared" si="30"/>
        <v>5</v>
      </c>
      <c r="B96" s="234">
        <f t="shared" si="30"/>
        <v>2022</v>
      </c>
      <c r="C96" s="20">
        <f t="shared" si="20"/>
        <v>60</v>
      </c>
      <c r="D96" s="20">
        <f t="shared" si="31"/>
        <v>15</v>
      </c>
      <c r="E96" s="20">
        <f t="shared" si="32"/>
        <v>0</v>
      </c>
      <c r="F96" s="20">
        <f t="shared" si="21"/>
        <v>75</v>
      </c>
      <c r="G96" s="25">
        <v>1</v>
      </c>
      <c r="H96" s="116">
        <f>C96*G96*I$7</f>
        <v>2160000</v>
      </c>
      <c r="I96" s="116">
        <f t="shared" si="22"/>
        <v>3601.4479200000001</v>
      </c>
      <c r="J96" s="116">
        <f t="shared" si="23"/>
        <v>540000</v>
      </c>
      <c r="K96" s="116">
        <f t="shared" si="24"/>
        <v>923.59331999999995</v>
      </c>
      <c r="L96" s="116">
        <f t="shared" si="25"/>
        <v>0</v>
      </c>
      <c r="M96" s="116">
        <f t="shared" si="26"/>
        <v>0</v>
      </c>
      <c r="N96" s="116">
        <f t="shared" si="27"/>
        <v>579399.14163090126</v>
      </c>
      <c r="O96" s="116">
        <f t="shared" si="28"/>
        <v>5915.6652360515027</v>
      </c>
      <c r="P96" s="29">
        <f t="shared" si="29"/>
        <v>1390.6239960515027</v>
      </c>
      <c r="Q96" s="419">
        <f>P96*25.3</f>
        <v>35182.787100103022</v>
      </c>
    </row>
    <row r="97" spans="1:17" x14ac:dyDescent="0.25">
      <c r="A97">
        <f t="shared" si="30"/>
        <v>6</v>
      </c>
      <c r="B97" s="234">
        <f t="shared" si="30"/>
        <v>2023</v>
      </c>
      <c r="C97" s="20">
        <f t="shared" si="20"/>
        <v>65</v>
      </c>
      <c r="D97" s="20">
        <f t="shared" si="31"/>
        <v>20</v>
      </c>
      <c r="E97" s="20">
        <f t="shared" si="32"/>
        <v>0</v>
      </c>
      <c r="F97" s="20">
        <f t="shared" si="21"/>
        <v>85</v>
      </c>
      <c r="G97" s="25">
        <v>1</v>
      </c>
      <c r="H97" s="116">
        <f t="shared" ref="H97:H131" si="33">H96</f>
        <v>2160000</v>
      </c>
      <c r="I97" s="116">
        <f t="shared" si="22"/>
        <v>3601.4479200000001</v>
      </c>
      <c r="J97" s="116">
        <f t="shared" si="23"/>
        <v>720000</v>
      </c>
      <c r="K97" s="116">
        <f t="shared" si="24"/>
        <v>1231.45776</v>
      </c>
      <c r="L97" s="116">
        <f t="shared" si="25"/>
        <v>0</v>
      </c>
      <c r="M97" s="116">
        <f t="shared" si="26"/>
        <v>0</v>
      </c>
      <c r="N97" s="116">
        <f t="shared" si="27"/>
        <v>656652.36051502149</v>
      </c>
      <c r="O97" s="116">
        <f t="shared" si="28"/>
        <v>6704.4206008583697</v>
      </c>
      <c r="P97" s="29">
        <f t="shared" si="29"/>
        <v>1871.5149208583696</v>
      </c>
      <c r="Q97" s="419">
        <f>P97*25.8</f>
        <v>48285.084958145933</v>
      </c>
    </row>
    <row r="98" spans="1:17" x14ac:dyDescent="0.25">
      <c r="A98">
        <f t="shared" si="30"/>
        <v>7</v>
      </c>
      <c r="B98" s="234">
        <f t="shared" si="30"/>
        <v>2024</v>
      </c>
      <c r="C98" s="20">
        <f t="shared" si="20"/>
        <v>75</v>
      </c>
      <c r="D98" s="20">
        <f t="shared" si="31"/>
        <v>25</v>
      </c>
      <c r="E98" s="20">
        <f t="shared" si="32"/>
        <v>0</v>
      </c>
      <c r="F98" s="20">
        <f t="shared" si="21"/>
        <v>100</v>
      </c>
      <c r="G98" s="25">
        <v>1</v>
      </c>
      <c r="H98" s="116">
        <f t="shared" si="33"/>
        <v>2160000</v>
      </c>
      <c r="I98" s="116">
        <f t="shared" si="22"/>
        <v>3601.4479200000001</v>
      </c>
      <c r="J98" s="116">
        <f t="shared" si="23"/>
        <v>900000</v>
      </c>
      <c r="K98" s="116">
        <f t="shared" si="24"/>
        <v>1539.3222000000001</v>
      </c>
      <c r="L98" s="116">
        <f t="shared" ref="L98:L131" si="34">L97</f>
        <v>0</v>
      </c>
      <c r="M98" s="116">
        <f t="shared" si="26"/>
        <v>0</v>
      </c>
      <c r="N98" s="116">
        <f t="shared" si="27"/>
        <v>772532.18884120171</v>
      </c>
      <c r="O98" s="116">
        <f t="shared" si="28"/>
        <v>7887.5536480686706</v>
      </c>
      <c r="P98" s="29">
        <f t="shared" si="29"/>
        <v>2746.7835280686709</v>
      </c>
      <c r="Q98" s="419">
        <f>P98*26.3</f>
        <v>72240.406788206048</v>
      </c>
    </row>
    <row r="99" spans="1:17" x14ac:dyDescent="0.25">
      <c r="A99">
        <f t="shared" si="30"/>
        <v>8</v>
      </c>
      <c r="B99" s="234">
        <f t="shared" si="30"/>
        <v>2025</v>
      </c>
      <c r="C99" s="20">
        <f t="shared" si="20"/>
        <v>75</v>
      </c>
      <c r="D99" s="20">
        <f t="shared" si="31"/>
        <v>30</v>
      </c>
      <c r="E99" s="20">
        <f t="shared" si="32"/>
        <v>0</v>
      </c>
      <c r="F99" s="20">
        <f t="shared" si="21"/>
        <v>105</v>
      </c>
      <c r="G99" s="25">
        <v>1</v>
      </c>
      <c r="H99" s="116">
        <f t="shared" si="33"/>
        <v>2160000</v>
      </c>
      <c r="I99" s="116">
        <f t="shared" si="22"/>
        <v>3601.4479200000001</v>
      </c>
      <c r="J99" s="116">
        <f t="shared" si="23"/>
        <v>1080000</v>
      </c>
      <c r="K99" s="116">
        <f t="shared" si="24"/>
        <v>1847.1866399999999</v>
      </c>
      <c r="L99" s="116">
        <f t="shared" si="34"/>
        <v>0</v>
      </c>
      <c r="M99" s="116">
        <f t="shared" si="26"/>
        <v>0</v>
      </c>
      <c r="N99" s="116">
        <f t="shared" si="27"/>
        <v>811158.79828326183</v>
      </c>
      <c r="O99" s="116">
        <f t="shared" si="28"/>
        <v>8281.9313304721036</v>
      </c>
      <c r="P99" s="29">
        <f t="shared" si="29"/>
        <v>2833.2967704721032</v>
      </c>
      <c r="Q99" s="419">
        <f>P99*27</f>
        <v>76499.012802746787</v>
      </c>
    </row>
    <row r="100" spans="1:17" x14ac:dyDescent="0.25">
      <c r="A100">
        <f t="shared" si="30"/>
        <v>9</v>
      </c>
      <c r="B100" s="234">
        <f t="shared" si="30"/>
        <v>2026</v>
      </c>
      <c r="C100" s="20">
        <f t="shared" si="20"/>
        <v>75</v>
      </c>
      <c r="D100" s="20">
        <f t="shared" si="31"/>
        <v>40</v>
      </c>
      <c r="E100" s="20">
        <f t="shared" si="32"/>
        <v>0</v>
      </c>
      <c r="F100" s="20">
        <f t="shared" si="21"/>
        <v>115</v>
      </c>
      <c r="G100" s="25">
        <v>1</v>
      </c>
      <c r="H100" s="116">
        <f t="shared" si="33"/>
        <v>2160000</v>
      </c>
      <c r="I100" s="116">
        <f t="shared" si="22"/>
        <v>3601.4479200000001</v>
      </c>
      <c r="J100" s="116">
        <f t="shared" si="23"/>
        <v>1440000</v>
      </c>
      <c r="K100" s="116">
        <f t="shared" si="24"/>
        <v>2462.91552</v>
      </c>
      <c r="L100" s="116">
        <f t="shared" si="34"/>
        <v>0</v>
      </c>
      <c r="M100" s="116">
        <f t="shared" si="26"/>
        <v>0</v>
      </c>
      <c r="N100" s="116">
        <f t="shared" si="27"/>
        <v>888412.01716738194</v>
      </c>
      <c r="O100" s="116">
        <f t="shared" si="28"/>
        <v>9070.6866952789696</v>
      </c>
      <c r="P100" s="29">
        <f t="shared" si="29"/>
        <v>3006.3232552789691</v>
      </c>
      <c r="Q100" s="419">
        <f>P100*27.6</f>
        <v>82974.52184569955</v>
      </c>
    </row>
    <row r="101" spans="1:17" x14ac:dyDescent="0.25">
      <c r="A101">
        <f t="shared" si="30"/>
        <v>10</v>
      </c>
      <c r="B101" s="234">
        <f t="shared" si="30"/>
        <v>2027</v>
      </c>
      <c r="C101" s="20">
        <f t="shared" si="20"/>
        <v>75</v>
      </c>
      <c r="D101" s="20">
        <f t="shared" si="31"/>
        <v>50</v>
      </c>
      <c r="E101" s="20">
        <f t="shared" si="32"/>
        <v>0</v>
      </c>
      <c r="F101" s="20">
        <f t="shared" si="21"/>
        <v>125</v>
      </c>
      <c r="G101" s="25">
        <v>1</v>
      </c>
      <c r="H101" s="116">
        <f t="shared" si="33"/>
        <v>2160000</v>
      </c>
      <c r="I101" s="116">
        <f t="shared" si="22"/>
        <v>3601.4479200000001</v>
      </c>
      <c r="J101" s="116">
        <f t="shared" ref="J101:J131" si="35">J100</f>
        <v>1440000</v>
      </c>
      <c r="K101" s="116">
        <f t="shared" si="24"/>
        <v>2462.91552</v>
      </c>
      <c r="L101" s="116">
        <f t="shared" si="34"/>
        <v>0</v>
      </c>
      <c r="M101" s="116">
        <f t="shared" si="26"/>
        <v>0</v>
      </c>
      <c r="N101" s="116">
        <f t="shared" si="27"/>
        <v>965665.23605150217</v>
      </c>
      <c r="O101" s="116">
        <f t="shared" si="28"/>
        <v>9859.4420600858393</v>
      </c>
      <c r="P101" s="29">
        <f t="shared" si="29"/>
        <v>3795.0786200858388</v>
      </c>
      <c r="Q101" s="419">
        <f>P101*28.3</f>
        <v>107400.72494842924</v>
      </c>
    </row>
    <row r="102" spans="1:17" x14ac:dyDescent="0.25">
      <c r="A102">
        <f t="shared" si="30"/>
        <v>11</v>
      </c>
      <c r="B102" s="234">
        <f t="shared" si="30"/>
        <v>2028</v>
      </c>
      <c r="C102" s="20">
        <f t="shared" si="20"/>
        <v>75</v>
      </c>
      <c r="D102" s="20">
        <f t="shared" si="31"/>
        <v>60</v>
      </c>
      <c r="E102" s="20">
        <f t="shared" si="32"/>
        <v>0</v>
      </c>
      <c r="F102" s="20">
        <f t="shared" si="21"/>
        <v>135</v>
      </c>
      <c r="G102" s="25">
        <v>1</v>
      </c>
      <c r="H102" s="116">
        <f t="shared" si="33"/>
        <v>2160000</v>
      </c>
      <c r="I102" s="116">
        <f t="shared" si="22"/>
        <v>3601.4479200000001</v>
      </c>
      <c r="J102" s="116">
        <f t="shared" si="35"/>
        <v>1440000</v>
      </c>
      <c r="K102" s="116">
        <f t="shared" si="24"/>
        <v>2462.91552</v>
      </c>
      <c r="L102" s="116">
        <f t="shared" si="34"/>
        <v>0</v>
      </c>
      <c r="M102" s="116">
        <f t="shared" si="26"/>
        <v>0</v>
      </c>
      <c r="N102" s="116">
        <f t="shared" si="27"/>
        <v>1042918.4549356223</v>
      </c>
      <c r="O102" s="116">
        <f t="shared" si="28"/>
        <v>10648.197424892705</v>
      </c>
      <c r="P102" s="29">
        <f t="shared" si="29"/>
        <v>4583.8339848927044</v>
      </c>
      <c r="Q102" s="419">
        <f>P102*28.9</f>
        <v>132472.80216339914</v>
      </c>
    </row>
    <row r="103" spans="1:17" x14ac:dyDescent="0.25">
      <c r="A103">
        <f t="shared" si="30"/>
        <v>12</v>
      </c>
      <c r="B103" s="234">
        <f t="shared" si="30"/>
        <v>2029</v>
      </c>
      <c r="C103" s="20">
        <f t="shared" si="20"/>
        <v>75</v>
      </c>
      <c r="D103" s="20">
        <f t="shared" si="31"/>
        <v>75</v>
      </c>
      <c r="E103" s="20">
        <f t="shared" si="32"/>
        <v>0</v>
      </c>
      <c r="F103" s="20">
        <f t="shared" si="21"/>
        <v>150</v>
      </c>
      <c r="G103" s="25">
        <v>1</v>
      </c>
      <c r="H103" s="116">
        <f t="shared" si="33"/>
        <v>2160000</v>
      </c>
      <c r="I103" s="116">
        <f t="shared" si="22"/>
        <v>3601.4479200000001</v>
      </c>
      <c r="J103" s="116">
        <f t="shared" si="35"/>
        <v>1440000</v>
      </c>
      <c r="K103" s="116">
        <f t="shared" si="24"/>
        <v>2462.91552</v>
      </c>
      <c r="L103" s="116">
        <f t="shared" si="34"/>
        <v>0</v>
      </c>
      <c r="M103" s="116">
        <f t="shared" si="26"/>
        <v>0</v>
      </c>
      <c r="N103" s="116">
        <f t="shared" si="27"/>
        <v>1158798.2832618025</v>
      </c>
      <c r="O103" s="116">
        <f t="shared" si="28"/>
        <v>11831.330472103005</v>
      </c>
      <c r="P103" s="29">
        <f t="shared" si="29"/>
        <v>5766.9670321030044</v>
      </c>
      <c r="Q103" s="419">
        <f>P103*29.6</f>
        <v>170702.22415024895</v>
      </c>
    </row>
    <row r="104" spans="1:17" x14ac:dyDescent="0.25">
      <c r="A104">
        <f t="shared" si="30"/>
        <v>13</v>
      </c>
      <c r="B104" s="234">
        <f t="shared" si="30"/>
        <v>2030</v>
      </c>
      <c r="C104" s="20">
        <f t="shared" si="20"/>
        <v>75</v>
      </c>
      <c r="D104" s="20">
        <f t="shared" si="31"/>
        <v>75</v>
      </c>
      <c r="E104" s="20">
        <f t="shared" si="32"/>
        <v>0</v>
      </c>
      <c r="F104" s="20">
        <f t="shared" si="21"/>
        <v>150</v>
      </c>
      <c r="G104" s="25">
        <v>1</v>
      </c>
      <c r="H104" s="116">
        <f t="shared" si="33"/>
        <v>2160000</v>
      </c>
      <c r="I104" s="116">
        <f t="shared" si="22"/>
        <v>3601.4479200000001</v>
      </c>
      <c r="J104" s="116">
        <f t="shared" si="35"/>
        <v>1440000</v>
      </c>
      <c r="K104" s="116">
        <f t="shared" si="24"/>
        <v>2462.91552</v>
      </c>
      <c r="L104" s="116">
        <f t="shared" si="34"/>
        <v>0</v>
      </c>
      <c r="M104" s="116">
        <f t="shared" si="26"/>
        <v>0</v>
      </c>
      <c r="N104" s="116">
        <f t="shared" si="27"/>
        <v>1158798.2832618025</v>
      </c>
      <c r="O104" s="116">
        <f t="shared" si="28"/>
        <v>11831.330472103005</v>
      </c>
      <c r="P104" s="29">
        <f t="shared" si="29"/>
        <v>5766.9670321030044</v>
      </c>
      <c r="Q104" s="419">
        <f>P104*30.2</f>
        <v>174162.40436951074</v>
      </c>
    </row>
    <row r="105" spans="1:17" x14ac:dyDescent="0.25">
      <c r="A105">
        <f t="shared" si="30"/>
        <v>14</v>
      </c>
      <c r="B105" s="234">
        <f t="shared" si="30"/>
        <v>2031</v>
      </c>
      <c r="C105" s="20">
        <f t="shared" si="20"/>
        <v>75</v>
      </c>
      <c r="D105" s="20">
        <f t="shared" si="31"/>
        <v>75</v>
      </c>
      <c r="E105" s="20">
        <f t="shared" si="32"/>
        <v>0</v>
      </c>
      <c r="F105" s="20">
        <f t="shared" si="21"/>
        <v>150</v>
      </c>
      <c r="G105" s="25">
        <v>1</v>
      </c>
      <c r="H105" s="116">
        <f t="shared" si="33"/>
        <v>2160000</v>
      </c>
      <c r="I105" s="116">
        <f t="shared" si="22"/>
        <v>3601.4479200000001</v>
      </c>
      <c r="J105" s="116">
        <f t="shared" si="35"/>
        <v>1440000</v>
      </c>
      <c r="K105" s="116">
        <f t="shared" si="24"/>
        <v>2462.91552</v>
      </c>
      <c r="L105" s="116">
        <f t="shared" si="34"/>
        <v>0</v>
      </c>
      <c r="M105" s="116">
        <f t="shared" si="26"/>
        <v>0</v>
      </c>
      <c r="N105" s="116">
        <f t="shared" si="27"/>
        <v>1158798.2832618025</v>
      </c>
      <c r="O105" s="116">
        <f t="shared" si="28"/>
        <v>11831.330472103005</v>
      </c>
      <c r="P105" s="29">
        <f t="shared" si="29"/>
        <v>5766.9670321030044</v>
      </c>
      <c r="Q105" s="419">
        <f>P105*30.9</f>
        <v>178199.28129198283</v>
      </c>
    </row>
    <row r="106" spans="1:17" x14ac:dyDescent="0.25">
      <c r="A106">
        <f t="shared" si="30"/>
        <v>15</v>
      </c>
      <c r="B106" s="234">
        <f t="shared" si="30"/>
        <v>2032</v>
      </c>
      <c r="C106" s="20">
        <f t="shared" si="20"/>
        <v>75</v>
      </c>
      <c r="D106" s="20">
        <f t="shared" si="31"/>
        <v>75</v>
      </c>
      <c r="E106" s="20">
        <f t="shared" si="32"/>
        <v>0</v>
      </c>
      <c r="F106" s="20">
        <f t="shared" si="21"/>
        <v>150</v>
      </c>
      <c r="G106" s="25">
        <v>1</v>
      </c>
      <c r="H106" s="116">
        <f t="shared" si="33"/>
        <v>2160000</v>
      </c>
      <c r="I106" s="116">
        <f t="shared" si="22"/>
        <v>3601.4479200000001</v>
      </c>
      <c r="J106" s="116">
        <f t="shared" si="35"/>
        <v>1440000</v>
      </c>
      <c r="K106" s="116">
        <f t="shared" si="24"/>
        <v>2462.91552</v>
      </c>
      <c r="L106" s="116">
        <f t="shared" si="34"/>
        <v>0</v>
      </c>
      <c r="M106" s="116">
        <f t="shared" si="26"/>
        <v>0</v>
      </c>
      <c r="N106" s="116">
        <f t="shared" si="27"/>
        <v>1158798.2832618025</v>
      </c>
      <c r="O106" s="116">
        <f t="shared" si="28"/>
        <v>11831.330472103005</v>
      </c>
      <c r="P106" s="29">
        <f t="shared" si="29"/>
        <v>5766.9670321030044</v>
      </c>
      <c r="Q106" s="419">
        <f>P106*31.5</f>
        <v>181659.46151124465</v>
      </c>
    </row>
    <row r="107" spans="1:17" x14ac:dyDescent="0.25">
      <c r="A107">
        <f t="shared" si="30"/>
        <v>16</v>
      </c>
      <c r="B107" s="234">
        <f t="shared" si="30"/>
        <v>2033</v>
      </c>
      <c r="C107" s="20">
        <f t="shared" si="20"/>
        <v>75</v>
      </c>
      <c r="D107" s="20">
        <f t="shared" si="31"/>
        <v>75</v>
      </c>
      <c r="E107" s="20">
        <f t="shared" si="32"/>
        <v>0</v>
      </c>
      <c r="F107" s="20">
        <f t="shared" si="21"/>
        <v>150</v>
      </c>
      <c r="G107" s="25">
        <v>1</v>
      </c>
      <c r="H107" s="116">
        <f t="shared" si="33"/>
        <v>2160000</v>
      </c>
      <c r="I107" s="116">
        <f t="shared" si="22"/>
        <v>3601.4479200000001</v>
      </c>
      <c r="J107" s="116">
        <f t="shared" si="35"/>
        <v>1440000</v>
      </c>
      <c r="K107" s="116">
        <f t="shared" si="24"/>
        <v>2462.91552</v>
      </c>
      <c r="L107" s="116">
        <f t="shared" si="34"/>
        <v>0</v>
      </c>
      <c r="M107" s="116">
        <f t="shared" si="26"/>
        <v>0</v>
      </c>
      <c r="N107" s="116">
        <f t="shared" si="27"/>
        <v>1158798.2832618025</v>
      </c>
      <c r="O107" s="116">
        <f t="shared" si="28"/>
        <v>11831.330472103005</v>
      </c>
      <c r="P107" s="29">
        <f t="shared" si="29"/>
        <v>5766.9670321030044</v>
      </c>
      <c r="Q107" s="419">
        <f>P107*32.1</f>
        <v>185119.64173050644</v>
      </c>
    </row>
    <row r="108" spans="1:17" x14ac:dyDescent="0.25">
      <c r="A108">
        <f t="shared" si="30"/>
        <v>17</v>
      </c>
      <c r="B108" s="234">
        <f t="shared" si="30"/>
        <v>2034</v>
      </c>
      <c r="C108" s="20">
        <f t="shared" si="20"/>
        <v>75</v>
      </c>
      <c r="D108" s="20">
        <f t="shared" si="31"/>
        <v>75</v>
      </c>
      <c r="E108" s="20">
        <f t="shared" si="32"/>
        <v>0</v>
      </c>
      <c r="F108" s="20">
        <f t="shared" si="21"/>
        <v>150</v>
      </c>
      <c r="G108" s="25">
        <v>1</v>
      </c>
      <c r="H108" s="116">
        <f t="shared" si="33"/>
        <v>2160000</v>
      </c>
      <c r="I108" s="116">
        <f t="shared" si="22"/>
        <v>3601.4479200000001</v>
      </c>
      <c r="J108" s="116">
        <f t="shared" si="35"/>
        <v>1440000</v>
      </c>
      <c r="K108" s="116">
        <f t="shared" si="24"/>
        <v>2462.91552</v>
      </c>
      <c r="L108" s="116">
        <f t="shared" si="34"/>
        <v>0</v>
      </c>
      <c r="M108" s="116">
        <f t="shared" si="26"/>
        <v>0</v>
      </c>
      <c r="N108" s="116">
        <f t="shared" si="27"/>
        <v>1158798.2832618025</v>
      </c>
      <c r="O108" s="116">
        <f t="shared" si="28"/>
        <v>11831.330472103005</v>
      </c>
      <c r="P108" s="29">
        <f t="shared" si="29"/>
        <v>5766.9670321030044</v>
      </c>
      <c r="Q108" s="419">
        <f>P108*32.8</f>
        <v>189156.51865297853</v>
      </c>
    </row>
    <row r="109" spans="1:17" x14ac:dyDescent="0.25">
      <c r="A109">
        <f t="shared" si="30"/>
        <v>18</v>
      </c>
      <c r="B109" s="234">
        <f t="shared" si="30"/>
        <v>2035</v>
      </c>
      <c r="C109" s="20">
        <f t="shared" si="20"/>
        <v>75</v>
      </c>
      <c r="D109" s="20">
        <f t="shared" si="31"/>
        <v>75</v>
      </c>
      <c r="E109" s="20">
        <f t="shared" si="32"/>
        <v>0</v>
      </c>
      <c r="F109" s="20">
        <f t="shared" si="21"/>
        <v>150</v>
      </c>
      <c r="G109" s="25">
        <v>1</v>
      </c>
      <c r="H109" s="116">
        <f t="shared" si="33"/>
        <v>2160000</v>
      </c>
      <c r="I109" s="116">
        <f t="shared" si="22"/>
        <v>3601.4479200000001</v>
      </c>
      <c r="J109" s="116">
        <f t="shared" si="35"/>
        <v>1440000</v>
      </c>
      <c r="K109" s="116">
        <f t="shared" si="24"/>
        <v>2462.91552</v>
      </c>
      <c r="L109" s="116">
        <f t="shared" si="34"/>
        <v>0</v>
      </c>
      <c r="M109" s="116">
        <f t="shared" si="26"/>
        <v>0</v>
      </c>
      <c r="N109" s="116">
        <f t="shared" si="27"/>
        <v>1158798.2832618025</v>
      </c>
      <c r="O109" s="116">
        <f t="shared" si="28"/>
        <v>11831.330472103005</v>
      </c>
      <c r="P109" s="29">
        <f t="shared" si="29"/>
        <v>5766.9670321030044</v>
      </c>
      <c r="Q109" s="419">
        <f>P109*33.4</f>
        <v>192616.69887224035</v>
      </c>
    </row>
    <row r="110" spans="1:17" x14ac:dyDescent="0.25">
      <c r="A110">
        <f t="shared" si="30"/>
        <v>19</v>
      </c>
      <c r="B110" s="234">
        <f t="shared" si="30"/>
        <v>2036</v>
      </c>
      <c r="C110" s="20">
        <f t="shared" si="20"/>
        <v>75</v>
      </c>
      <c r="D110" s="20">
        <f t="shared" si="31"/>
        <v>75</v>
      </c>
      <c r="E110" s="20">
        <f t="shared" si="32"/>
        <v>0</v>
      </c>
      <c r="F110" s="20">
        <f t="shared" si="21"/>
        <v>150</v>
      </c>
      <c r="G110" s="25">
        <v>1</v>
      </c>
      <c r="H110" s="116">
        <f t="shared" si="33"/>
        <v>2160000</v>
      </c>
      <c r="I110" s="116">
        <f t="shared" si="22"/>
        <v>3601.4479200000001</v>
      </c>
      <c r="J110" s="116">
        <f t="shared" si="35"/>
        <v>1440000</v>
      </c>
      <c r="K110" s="116">
        <f t="shared" si="24"/>
        <v>2462.91552</v>
      </c>
      <c r="L110" s="116">
        <f t="shared" si="34"/>
        <v>0</v>
      </c>
      <c r="M110" s="116">
        <f t="shared" si="26"/>
        <v>0</v>
      </c>
      <c r="N110" s="116">
        <f t="shared" si="27"/>
        <v>1158798.2832618025</v>
      </c>
      <c r="O110" s="116">
        <f t="shared" si="28"/>
        <v>11831.330472103005</v>
      </c>
      <c r="P110" s="29">
        <f t="shared" si="29"/>
        <v>5766.9670321030044</v>
      </c>
      <c r="Q110" s="419">
        <f>P110*34.1</f>
        <v>196653.57579471247</v>
      </c>
    </row>
    <row r="111" spans="1:17" x14ac:dyDescent="0.25">
      <c r="A111">
        <f t="shared" si="30"/>
        <v>20</v>
      </c>
      <c r="B111" s="234">
        <f t="shared" si="30"/>
        <v>2037</v>
      </c>
      <c r="C111" s="20">
        <f t="shared" si="20"/>
        <v>75</v>
      </c>
      <c r="D111" s="20">
        <f t="shared" si="31"/>
        <v>75</v>
      </c>
      <c r="E111" s="20">
        <f t="shared" si="32"/>
        <v>0</v>
      </c>
      <c r="F111" s="20">
        <f t="shared" si="21"/>
        <v>150</v>
      </c>
      <c r="G111" s="25">
        <v>1</v>
      </c>
      <c r="H111" s="116">
        <f t="shared" si="33"/>
        <v>2160000</v>
      </c>
      <c r="I111" s="116">
        <f t="shared" si="22"/>
        <v>3601.4479200000001</v>
      </c>
      <c r="J111" s="116">
        <f t="shared" si="35"/>
        <v>1440000</v>
      </c>
      <c r="K111" s="116">
        <f t="shared" si="24"/>
        <v>2462.91552</v>
      </c>
      <c r="L111" s="116">
        <f t="shared" si="34"/>
        <v>0</v>
      </c>
      <c r="M111" s="116">
        <f t="shared" si="26"/>
        <v>0</v>
      </c>
      <c r="N111" s="116">
        <f t="shared" si="27"/>
        <v>1158798.2832618025</v>
      </c>
      <c r="O111" s="116">
        <f t="shared" si="28"/>
        <v>11831.330472103005</v>
      </c>
      <c r="P111" s="29">
        <f t="shared" si="29"/>
        <v>5766.9670321030044</v>
      </c>
      <c r="Q111" s="419">
        <f>P111*34.7</f>
        <v>200113.75601397426</v>
      </c>
    </row>
    <row r="112" spans="1:17" x14ac:dyDescent="0.25">
      <c r="A112">
        <f t="shared" si="30"/>
        <v>21</v>
      </c>
      <c r="B112" s="234">
        <f t="shared" si="30"/>
        <v>2038</v>
      </c>
      <c r="C112" s="20">
        <f t="shared" si="20"/>
        <v>75</v>
      </c>
      <c r="D112" s="20">
        <f t="shared" si="31"/>
        <v>75</v>
      </c>
      <c r="E112" s="20">
        <f t="shared" si="32"/>
        <v>0</v>
      </c>
      <c r="F112" s="20">
        <f t="shared" si="21"/>
        <v>150</v>
      </c>
      <c r="G112" s="25">
        <v>1</v>
      </c>
      <c r="H112" s="116">
        <f t="shared" si="33"/>
        <v>2160000</v>
      </c>
      <c r="I112" s="116">
        <f t="shared" si="22"/>
        <v>3601.4479200000001</v>
      </c>
      <c r="J112" s="116">
        <f t="shared" si="35"/>
        <v>1440000</v>
      </c>
      <c r="K112" s="116">
        <f t="shared" si="24"/>
        <v>2462.91552</v>
      </c>
      <c r="L112" s="116">
        <f t="shared" si="34"/>
        <v>0</v>
      </c>
      <c r="M112" s="116">
        <f t="shared" si="26"/>
        <v>0</v>
      </c>
      <c r="N112" s="116">
        <f t="shared" si="27"/>
        <v>1158798.2832618025</v>
      </c>
      <c r="O112" s="116">
        <f t="shared" si="28"/>
        <v>11831.330472103005</v>
      </c>
      <c r="P112" s="29">
        <f t="shared" si="29"/>
        <v>5766.9670321030044</v>
      </c>
      <c r="Q112" s="419">
        <f>P112*35.4</f>
        <v>204150.63293644635</v>
      </c>
    </row>
    <row r="113" spans="1:17" x14ac:dyDescent="0.25">
      <c r="A113">
        <f t="shared" si="30"/>
        <v>22</v>
      </c>
      <c r="B113" s="234">
        <f t="shared" si="30"/>
        <v>2039</v>
      </c>
      <c r="C113" s="20">
        <f t="shared" si="20"/>
        <v>75</v>
      </c>
      <c r="D113" s="20">
        <f t="shared" si="31"/>
        <v>75</v>
      </c>
      <c r="E113" s="20">
        <f t="shared" si="32"/>
        <v>0</v>
      </c>
      <c r="F113" s="20">
        <f t="shared" si="21"/>
        <v>150</v>
      </c>
      <c r="G113" s="25">
        <v>1</v>
      </c>
      <c r="H113" s="116">
        <f t="shared" si="33"/>
        <v>2160000</v>
      </c>
      <c r="I113" s="116">
        <f t="shared" si="22"/>
        <v>3601.4479200000001</v>
      </c>
      <c r="J113" s="116">
        <f t="shared" si="35"/>
        <v>1440000</v>
      </c>
      <c r="K113" s="116">
        <f t="shared" si="24"/>
        <v>2462.91552</v>
      </c>
      <c r="L113" s="116">
        <f t="shared" si="34"/>
        <v>0</v>
      </c>
      <c r="M113" s="116">
        <f t="shared" si="26"/>
        <v>0</v>
      </c>
      <c r="N113" s="116">
        <f t="shared" si="27"/>
        <v>1158798.2832618025</v>
      </c>
      <c r="O113" s="116">
        <f t="shared" si="28"/>
        <v>11831.330472103005</v>
      </c>
      <c r="P113" s="29">
        <f t="shared" si="29"/>
        <v>5766.9670321030044</v>
      </c>
      <c r="Q113" s="419">
        <f>P113*36</f>
        <v>207610.81315570817</v>
      </c>
    </row>
    <row r="114" spans="1:17" x14ac:dyDescent="0.25">
      <c r="A114">
        <f t="shared" si="30"/>
        <v>23</v>
      </c>
      <c r="B114" s="234">
        <f t="shared" si="30"/>
        <v>2040</v>
      </c>
      <c r="C114" s="20">
        <f t="shared" si="20"/>
        <v>75</v>
      </c>
      <c r="D114" s="20">
        <f t="shared" si="31"/>
        <v>75</v>
      </c>
      <c r="E114" s="20">
        <f t="shared" si="32"/>
        <v>0</v>
      </c>
      <c r="F114" s="20">
        <f t="shared" si="21"/>
        <v>150</v>
      </c>
      <c r="G114" s="25">
        <v>1</v>
      </c>
      <c r="H114" s="116">
        <f t="shared" si="33"/>
        <v>2160000</v>
      </c>
      <c r="I114" s="116">
        <f t="shared" si="22"/>
        <v>3601.4479200000001</v>
      </c>
      <c r="J114" s="116">
        <f t="shared" si="35"/>
        <v>1440000</v>
      </c>
      <c r="K114" s="116">
        <f t="shared" si="24"/>
        <v>2462.91552</v>
      </c>
      <c r="L114" s="116">
        <f t="shared" si="34"/>
        <v>0</v>
      </c>
      <c r="M114" s="116">
        <f t="shared" si="26"/>
        <v>0</v>
      </c>
      <c r="N114" s="116">
        <f t="shared" si="27"/>
        <v>1158798.2832618025</v>
      </c>
      <c r="O114" s="116">
        <f t="shared" si="28"/>
        <v>11831.330472103005</v>
      </c>
      <c r="P114" s="29">
        <f t="shared" si="29"/>
        <v>5766.9670321030044</v>
      </c>
      <c r="Q114" s="419">
        <f>P114*36.7</f>
        <v>211647.69007818028</v>
      </c>
    </row>
    <row r="115" spans="1:17" x14ac:dyDescent="0.25">
      <c r="A115">
        <f t="shared" si="30"/>
        <v>24</v>
      </c>
      <c r="B115" s="234">
        <f t="shared" si="30"/>
        <v>2041</v>
      </c>
      <c r="C115" s="20">
        <f t="shared" si="20"/>
        <v>75</v>
      </c>
      <c r="D115" s="20">
        <f t="shared" si="31"/>
        <v>75</v>
      </c>
      <c r="E115" s="20">
        <f t="shared" si="32"/>
        <v>0</v>
      </c>
      <c r="F115" s="20">
        <f t="shared" si="21"/>
        <v>150</v>
      </c>
      <c r="G115" s="25">
        <v>1</v>
      </c>
      <c r="H115" s="116">
        <f t="shared" si="33"/>
        <v>2160000</v>
      </c>
      <c r="I115" s="116">
        <f t="shared" si="22"/>
        <v>3601.4479200000001</v>
      </c>
      <c r="J115" s="116">
        <f t="shared" si="35"/>
        <v>1440000</v>
      </c>
      <c r="K115" s="116">
        <f t="shared" si="24"/>
        <v>2462.91552</v>
      </c>
      <c r="L115" s="116">
        <f t="shared" si="34"/>
        <v>0</v>
      </c>
      <c r="M115" s="116">
        <f t="shared" si="26"/>
        <v>0</v>
      </c>
      <c r="N115" s="116">
        <f t="shared" si="27"/>
        <v>1158798.2832618025</v>
      </c>
      <c r="O115" s="116">
        <f t="shared" si="28"/>
        <v>11831.330472103005</v>
      </c>
      <c r="P115" s="29">
        <f t="shared" si="29"/>
        <v>5766.9670321030044</v>
      </c>
      <c r="Q115" s="419">
        <f>P115*37.3</f>
        <v>215107.87029744204</v>
      </c>
    </row>
    <row r="116" spans="1:17" x14ac:dyDescent="0.25">
      <c r="A116">
        <f t="shared" si="30"/>
        <v>25</v>
      </c>
      <c r="B116" s="234">
        <f t="shared" si="30"/>
        <v>2042</v>
      </c>
      <c r="C116" s="20">
        <f t="shared" si="20"/>
        <v>75</v>
      </c>
      <c r="D116" s="20">
        <f t="shared" si="31"/>
        <v>75</v>
      </c>
      <c r="E116" s="20">
        <f t="shared" si="32"/>
        <v>0</v>
      </c>
      <c r="F116" s="20">
        <f t="shared" si="21"/>
        <v>150</v>
      </c>
      <c r="G116" s="25">
        <v>1</v>
      </c>
      <c r="H116" s="116">
        <f t="shared" si="33"/>
        <v>2160000</v>
      </c>
      <c r="I116" s="116">
        <f t="shared" si="22"/>
        <v>3601.4479200000001</v>
      </c>
      <c r="J116" s="116">
        <f t="shared" si="35"/>
        <v>1440000</v>
      </c>
      <c r="K116" s="116">
        <f t="shared" si="24"/>
        <v>2462.91552</v>
      </c>
      <c r="L116" s="116">
        <f t="shared" si="34"/>
        <v>0</v>
      </c>
      <c r="M116" s="116">
        <f t="shared" si="26"/>
        <v>0</v>
      </c>
      <c r="N116" s="116">
        <f t="shared" si="27"/>
        <v>1158798.2832618025</v>
      </c>
      <c r="O116" s="116">
        <f t="shared" si="28"/>
        <v>11831.330472103005</v>
      </c>
      <c r="P116" s="29">
        <f t="shared" si="29"/>
        <v>5766.9670321030044</v>
      </c>
      <c r="Q116" s="419">
        <f>P116*37.9</f>
        <v>218568.05051670386</v>
      </c>
    </row>
    <row r="117" spans="1:17" x14ac:dyDescent="0.25">
      <c r="A117">
        <f t="shared" si="30"/>
        <v>26</v>
      </c>
      <c r="B117" s="234">
        <f t="shared" si="30"/>
        <v>2043</v>
      </c>
      <c r="C117" s="20">
        <f t="shared" si="20"/>
        <v>75</v>
      </c>
      <c r="D117" s="20">
        <f t="shared" si="31"/>
        <v>75</v>
      </c>
      <c r="E117" s="20">
        <f t="shared" si="32"/>
        <v>0</v>
      </c>
      <c r="F117" s="20">
        <f t="shared" si="21"/>
        <v>150</v>
      </c>
      <c r="G117" s="25">
        <v>1</v>
      </c>
      <c r="H117" s="116">
        <f t="shared" si="33"/>
        <v>2160000</v>
      </c>
      <c r="I117" s="116">
        <f t="shared" si="22"/>
        <v>3601.4479200000001</v>
      </c>
      <c r="J117" s="116">
        <f t="shared" si="35"/>
        <v>1440000</v>
      </c>
      <c r="K117" s="116">
        <f t="shared" si="24"/>
        <v>2462.91552</v>
      </c>
      <c r="L117" s="116">
        <f t="shared" si="34"/>
        <v>0</v>
      </c>
      <c r="M117" s="116">
        <f t="shared" si="26"/>
        <v>0</v>
      </c>
      <c r="N117" s="116">
        <f t="shared" si="27"/>
        <v>1158798.2832618025</v>
      </c>
      <c r="O117" s="116">
        <f t="shared" si="28"/>
        <v>11831.330472103005</v>
      </c>
      <c r="P117" s="29">
        <f t="shared" si="29"/>
        <v>5766.9670321030044</v>
      </c>
      <c r="Q117" s="419">
        <f>P117*38.6</f>
        <v>222604.92743917598</v>
      </c>
    </row>
    <row r="118" spans="1:17" x14ac:dyDescent="0.25">
      <c r="A118">
        <f t="shared" si="30"/>
        <v>27</v>
      </c>
      <c r="B118" s="234">
        <f t="shared" si="30"/>
        <v>2044</v>
      </c>
      <c r="C118" s="20">
        <f t="shared" si="20"/>
        <v>75</v>
      </c>
      <c r="D118" s="20">
        <f t="shared" si="31"/>
        <v>75</v>
      </c>
      <c r="E118" s="20">
        <f t="shared" si="32"/>
        <v>0</v>
      </c>
      <c r="F118" s="20">
        <f t="shared" si="21"/>
        <v>150</v>
      </c>
      <c r="G118" s="25">
        <v>1</v>
      </c>
      <c r="H118" s="116">
        <f t="shared" si="33"/>
        <v>2160000</v>
      </c>
      <c r="I118" s="116">
        <f t="shared" si="22"/>
        <v>3601.4479200000001</v>
      </c>
      <c r="J118" s="116">
        <f t="shared" si="35"/>
        <v>1440000</v>
      </c>
      <c r="K118" s="116">
        <f t="shared" si="24"/>
        <v>2462.91552</v>
      </c>
      <c r="L118" s="116">
        <f t="shared" si="34"/>
        <v>0</v>
      </c>
      <c r="M118" s="116">
        <f t="shared" si="26"/>
        <v>0</v>
      </c>
      <c r="N118" s="116">
        <f t="shared" si="27"/>
        <v>1158798.2832618025</v>
      </c>
      <c r="O118" s="116">
        <f t="shared" si="28"/>
        <v>11831.330472103005</v>
      </c>
      <c r="P118" s="29">
        <f t="shared" si="29"/>
        <v>5766.9670321030044</v>
      </c>
      <c r="Q118" s="419">
        <f>P118*39.2</f>
        <v>226065.1076584378</v>
      </c>
    </row>
    <row r="119" spans="1:17" x14ac:dyDescent="0.25">
      <c r="A119">
        <f t="shared" si="30"/>
        <v>28</v>
      </c>
      <c r="B119" s="234">
        <f t="shared" si="30"/>
        <v>2045</v>
      </c>
      <c r="C119" s="20">
        <f t="shared" si="20"/>
        <v>75</v>
      </c>
      <c r="D119" s="20">
        <f t="shared" si="31"/>
        <v>75</v>
      </c>
      <c r="E119" s="20">
        <f t="shared" si="32"/>
        <v>0</v>
      </c>
      <c r="F119" s="20">
        <f t="shared" si="21"/>
        <v>150</v>
      </c>
      <c r="G119" s="25">
        <v>1</v>
      </c>
      <c r="H119" s="116">
        <f t="shared" si="33"/>
        <v>2160000</v>
      </c>
      <c r="I119" s="116">
        <f t="shared" si="22"/>
        <v>3601.4479200000001</v>
      </c>
      <c r="J119" s="116">
        <f t="shared" si="35"/>
        <v>1440000</v>
      </c>
      <c r="K119" s="116">
        <f t="shared" si="24"/>
        <v>2462.91552</v>
      </c>
      <c r="L119" s="116">
        <f t="shared" si="34"/>
        <v>0</v>
      </c>
      <c r="M119" s="116">
        <f t="shared" si="26"/>
        <v>0</v>
      </c>
      <c r="N119" s="116">
        <f t="shared" si="27"/>
        <v>1158798.2832618025</v>
      </c>
      <c r="O119" s="116">
        <f t="shared" si="28"/>
        <v>11831.330472103005</v>
      </c>
      <c r="P119" s="29">
        <f t="shared" si="29"/>
        <v>5766.9670321030044</v>
      </c>
      <c r="Q119" s="419">
        <f>P119*39.8</f>
        <v>229525.28787769956</v>
      </c>
    </row>
    <row r="120" spans="1:17" x14ac:dyDescent="0.25">
      <c r="A120">
        <f t="shared" si="30"/>
        <v>29</v>
      </c>
      <c r="B120" s="234">
        <f t="shared" si="30"/>
        <v>2046</v>
      </c>
      <c r="C120" s="20">
        <f t="shared" si="20"/>
        <v>75</v>
      </c>
      <c r="D120" s="20">
        <f t="shared" si="31"/>
        <v>75</v>
      </c>
      <c r="E120" s="20">
        <f t="shared" si="32"/>
        <v>0</v>
      </c>
      <c r="F120" s="20">
        <f t="shared" si="21"/>
        <v>150</v>
      </c>
      <c r="G120" s="25">
        <v>1</v>
      </c>
      <c r="H120" s="116">
        <f t="shared" si="33"/>
        <v>2160000</v>
      </c>
      <c r="I120" s="116">
        <f t="shared" si="22"/>
        <v>3601.4479200000001</v>
      </c>
      <c r="J120" s="116">
        <f t="shared" si="35"/>
        <v>1440000</v>
      </c>
      <c r="K120" s="116">
        <f t="shared" si="24"/>
        <v>2462.91552</v>
      </c>
      <c r="L120" s="116">
        <f t="shared" si="34"/>
        <v>0</v>
      </c>
      <c r="M120" s="116">
        <f t="shared" si="26"/>
        <v>0</v>
      </c>
      <c r="N120" s="116">
        <f t="shared" si="27"/>
        <v>1158798.2832618025</v>
      </c>
      <c r="O120" s="116">
        <f t="shared" si="28"/>
        <v>11831.330472103005</v>
      </c>
      <c r="P120" s="29">
        <f t="shared" si="29"/>
        <v>5766.9670321030044</v>
      </c>
      <c r="Q120" s="419">
        <f>P120*40.4</f>
        <v>232985.46809696135</v>
      </c>
    </row>
    <row r="121" spans="1:17" x14ac:dyDescent="0.25">
      <c r="A121">
        <f t="shared" si="30"/>
        <v>30</v>
      </c>
      <c r="B121" s="234">
        <f t="shared" si="30"/>
        <v>2047</v>
      </c>
      <c r="C121" s="20">
        <f t="shared" si="20"/>
        <v>75</v>
      </c>
      <c r="D121" s="20">
        <f t="shared" si="31"/>
        <v>75</v>
      </c>
      <c r="E121" s="20">
        <f t="shared" si="32"/>
        <v>0</v>
      </c>
      <c r="F121" s="20">
        <f t="shared" si="21"/>
        <v>150</v>
      </c>
      <c r="G121" s="25">
        <v>1</v>
      </c>
      <c r="H121" s="116">
        <f t="shared" si="33"/>
        <v>2160000</v>
      </c>
      <c r="I121" s="116">
        <f t="shared" si="22"/>
        <v>3601.4479200000001</v>
      </c>
      <c r="J121" s="116">
        <f t="shared" si="35"/>
        <v>1440000</v>
      </c>
      <c r="K121" s="116">
        <f t="shared" si="24"/>
        <v>2462.91552</v>
      </c>
      <c r="L121" s="116">
        <f t="shared" si="34"/>
        <v>0</v>
      </c>
      <c r="M121" s="116">
        <f t="shared" si="26"/>
        <v>0</v>
      </c>
      <c r="N121" s="116">
        <f t="shared" si="27"/>
        <v>1158798.2832618025</v>
      </c>
      <c r="O121" s="116">
        <f t="shared" si="28"/>
        <v>11831.330472103005</v>
      </c>
      <c r="P121" s="29">
        <f t="shared" si="29"/>
        <v>5766.9670321030044</v>
      </c>
      <c r="Q121" s="419">
        <f>P121*40.9</f>
        <v>235868.95161301288</v>
      </c>
    </row>
    <row r="122" spans="1:17" x14ac:dyDescent="0.25">
      <c r="A122">
        <f t="shared" si="30"/>
        <v>31</v>
      </c>
      <c r="B122" s="234">
        <f t="shared" si="30"/>
        <v>2048</v>
      </c>
      <c r="C122" s="20">
        <f t="shared" si="20"/>
        <v>75</v>
      </c>
      <c r="D122" s="20">
        <f t="shared" si="31"/>
        <v>75</v>
      </c>
      <c r="E122" s="20">
        <f t="shared" si="32"/>
        <v>0</v>
      </c>
      <c r="F122" s="20">
        <f t="shared" si="21"/>
        <v>150</v>
      </c>
      <c r="G122" s="25">
        <v>1</v>
      </c>
      <c r="H122" s="116">
        <f t="shared" si="33"/>
        <v>2160000</v>
      </c>
      <c r="I122" s="116">
        <f t="shared" si="22"/>
        <v>3601.4479200000001</v>
      </c>
      <c r="J122" s="116">
        <f t="shared" si="35"/>
        <v>1440000</v>
      </c>
      <c r="K122" s="116">
        <f t="shared" si="24"/>
        <v>2462.91552</v>
      </c>
      <c r="L122" s="116">
        <f t="shared" si="34"/>
        <v>0</v>
      </c>
      <c r="M122" s="116">
        <f t="shared" si="26"/>
        <v>0</v>
      </c>
      <c r="N122" s="116">
        <f t="shared" si="27"/>
        <v>1158798.2832618025</v>
      </c>
      <c r="O122" s="116">
        <f t="shared" si="28"/>
        <v>11831.330472103005</v>
      </c>
      <c r="P122" s="29">
        <f t="shared" si="29"/>
        <v>5766.9670321030044</v>
      </c>
      <c r="Q122" s="419">
        <f>P122*41.5</f>
        <v>239329.1318322747</v>
      </c>
    </row>
    <row r="123" spans="1:17" x14ac:dyDescent="0.25">
      <c r="A123">
        <f t="shared" si="30"/>
        <v>32</v>
      </c>
      <c r="B123" s="234">
        <f t="shared" si="30"/>
        <v>2049</v>
      </c>
      <c r="C123" s="20">
        <f t="shared" si="20"/>
        <v>75</v>
      </c>
      <c r="D123" s="20">
        <f t="shared" si="31"/>
        <v>75</v>
      </c>
      <c r="E123" s="20">
        <f t="shared" si="32"/>
        <v>0</v>
      </c>
      <c r="F123" s="20">
        <f t="shared" si="21"/>
        <v>150</v>
      </c>
      <c r="G123" s="25">
        <v>1</v>
      </c>
      <c r="H123" s="116">
        <f t="shared" si="33"/>
        <v>2160000</v>
      </c>
      <c r="I123" s="116">
        <f t="shared" si="22"/>
        <v>3601.4479200000001</v>
      </c>
      <c r="J123" s="116">
        <f t="shared" si="35"/>
        <v>1440000</v>
      </c>
      <c r="K123" s="116">
        <f t="shared" si="24"/>
        <v>2462.91552</v>
      </c>
      <c r="L123" s="116">
        <f t="shared" si="34"/>
        <v>0</v>
      </c>
      <c r="M123" s="116">
        <f t="shared" si="26"/>
        <v>0</v>
      </c>
      <c r="N123" s="116">
        <f t="shared" si="27"/>
        <v>1158798.2832618025</v>
      </c>
      <c r="O123" s="116">
        <f t="shared" si="28"/>
        <v>11831.330472103005</v>
      </c>
      <c r="P123" s="29">
        <f t="shared" si="29"/>
        <v>5766.9670321030044</v>
      </c>
      <c r="Q123" s="419">
        <f>P123*42.1</f>
        <v>242789.31205153649</v>
      </c>
    </row>
    <row r="124" spans="1:17" x14ac:dyDescent="0.25">
      <c r="A124">
        <f t="shared" si="30"/>
        <v>33</v>
      </c>
      <c r="B124" s="234">
        <f t="shared" si="30"/>
        <v>2050</v>
      </c>
      <c r="C124" s="20">
        <f t="shared" si="20"/>
        <v>75</v>
      </c>
      <c r="D124" s="20">
        <f t="shared" si="31"/>
        <v>75</v>
      </c>
      <c r="E124" s="20">
        <f t="shared" si="32"/>
        <v>0</v>
      </c>
      <c r="F124" s="20">
        <f t="shared" si="21"/>
        <v>150</v>
      </c>
      <c r="G124" s="25">
        <v>1</v>
      </c>
      <c r="H124" s="116">
        <f t="shared" si="33"/>
        <v>2160000</v>
      </c>
      <c r="I124" s="116">
        <f t="shared" si="22"/>
        <v>3601.4479200000001</v>
      </c>
      <c r="J124" s="116">
        <f t="shared" si="35"/>
        <v>1440000</v>
      </c>
      <c r="K124" s="116">
        <f t="shared" si="24"/>
        <v>2462.91552</v>
      </c>
      <c r="L124" s="116">
        <f t="shared" si="34"/>
        <v>0</v>
      </c>
      <c r="M124" s="116">
        <f t="shared" si="26"/>
        <v>0</v>
      </c>
      <c r="N124" s="116">
        <f t="shared" si="27"/>
        <v>1158798.2832618025</v>
      </c>
      <c r="O124" s="116">
        <f t="shared" si="28"/>
        <v>11831.330472103005</v>
      </c>
      <c r="P124" s="29">
        <f t="shared" si="29"/>
        <v>5766.9670321030044</v>
      </c>
      <c r="Q124" s="419">
        <f>P124*42.6</f>
        <v>245672.79556758801</v>
      </c>
    </row>
    <row r="125" spans="1:17" x14ac:dyDescent="0.25">
      <c r="A125">
        <f t="shared" si="30"/>
        <v>34</v>
      </c>
      <c r="B125" s="234">
        <f t="shared" si="30"/>
        <v>2051</v>
      </c>
      <c r="C125" s="20">
        <f t="shared" si="20"/>
        <v>75</v>
      </c>
      <c r="D125" s="20">
        <f t="shared" si="31"/>
        <v>75</v>
      </c>
      <c r="E125" s="20">
        <f t="shared" si="32"/>
        <v>0</v>
      </c>
      <c r="F125" s="20">
        <f t="shared" si="21"/>
        <v>150</v>
      </c>
      <c r="G125" s="25">
        <v>1</v>
      </c>
      <c r="H125" s="116">
        <f t="shared" si="33"/>
        <v>2160000</v>
      </c>
      <c r="I125" s="116">
        <f t="shared" si="22"/>
        <v>3601.4479200000001</v>
      </c>
      <c r="J125" s="116">
        <f t="shared" si="35"/>
        <v>1440000</v>
      </c>
      <c r="K125" s="116">
        <f t="shared" si="24"/>
        <v>2462.91552</v>
      </c>
      <c r="L125" s="116">
        <f t="shared" si="34"/>
        <v>0</v>
      </c>
      <c r="M125" s="116">
        <f t="shared" si="26"/>
        <v>0</v>
      </c>
      <c r="N125" s="116">
        <f t="shared" si="27"/>
        <v>1158798.2832618025</v>
      </c>
      <c r="O125" s="116">
        <f t="shared" si="28"/>
        <v>11831.330472103005</v>
      </c>
      <c r="P125" s="29">
        <f t="shared" si="29"/>
        <v>5766.9670321030044</v>
      </c>
      <c r="Q125" s="419">
        <f>P125*43.2</f>
        <v>249132.9757868498</v>
      </c>
    </row>
    <row r="126" spans="1:17" x14ac:dyDescent="0.25">
      <c r="A126">
        <f t="shared" si="30"/>
        <v>35</v>
      </c>
      <c r="B126" s="234">
        <f t="shared" si="30"/>
        <v>2052</v>
      </c>
      <c r="C126" s="20">
        <f t="shared" si="20"/>
        <v>75</v>
      </c>
      <c r="D126" s="20">
        <f t="shared" si="31"/>
        <v>75</v>
      </c>
      <c r="E126" s="20">
        <f t="shared" si="32"/>
        <v>0</v>
      </c>
      <c r="F126" s="20">
        <f t="shared" si="21"/>
        <v>150</v>
      </c>
      <c r="G126" s="25">
        <v>1</v>
      </c>
      <c r="H126" s="116">
        <f t="shared" si="33"/>
        <v>2160000</v>
      </c>
      <c r="I126" s="116">
        <f t="shared" si="22"/>
        <v>3601.4479200000001</v>
      </c>
      <c r="J126" s="116">
        <f t="shared" si="35"/>
        <v>1440000</v>
      </c>
      <c r="K126" s="116">
        <f t="shared" si="24"/>
        <v>2462.91552</v>
      </c>
      <c r="L126" s="116">
        <f t="shared" si="34"/>
        <v>0</v>
      </c>
      <c r="M126" s="116">
        <f t="shared" si="26"/>
        <v>0</v>
      </c>
      <c r="N126" s="116">
        <f t="shared" si="27"/>
        <v>1158798.2832618025</v>
      </c>
      <c r="O126" s="116">
        <f t="shared" si="28"/>
        <v>11831.330472103005</v>
      </c>
      <c r="P126" s="29">
        <f t="shared" si="29"/>
        <v>5766.9670321030044</v>
      </c>
      <c r="Q126" s="419">
        <f>P126*43.8</f>
        <v>252593.15600611159</v>
      </c>
    </row>
    <row r="127" spans="1:17" x14ac:dyDescent="0.25">
      <c r="A127">
        <f t="shared" si="30"/>
        <v>36</v>
      </c>
      <c r="B127" s="234">
        <f t="shared" si="30"/>
        <v>2053</v>
      </c>
      <c r="C127" s="20">
        <f t="shared" si="20"/>
        <v>75</v>
      </c>
      <c r="D127" s="20">
        <f t="shared" si="31"/>
        <v>75</v>
      </c>
      <c r="E127" s="20">
        <f t="shared" si="32"/>
        <v>0</v>
      </c>
      <c r="F127" s="20">
        <f t="shared" si="21"/>
        <v>150</v>
      </c>
      <c r="G127" s="25">
        <v>1</v>
      </c>
      <c r="H127" s="116">
        <f t="shared" si="33"/>
        <v>2160000</v>
      </c>
      <c r="I127" s="116">
        <f t="shared" si="22"/>
        <v>3601.4479200000001</v>
      </c>
      <c r="J127" s="116">
        <f t="shared" si="35"/>
        <v>1440000</v>
      </c>
      <c r="K127" s="116">
        <f t="shared" si="24"/>
        <v>2462.91552</v>
      </c>
      <c r="L127" s="116">
        <f t="shared" si="34"/>
        <v>0</v>
      </c>
      <c r="M127" s="116">
        <f t="shared" si="26"/>
        <v>0</v>
      </c>
      <c r="N127" s="116">
        <f t="shared" si="27"/>
        <v>1158798.2832618025</v>
      </c>
      <c r="O127" s="116">
        <f t="shared" si="28"/>
        <v>11831.330472103005</v>
      </c>
      <c r="P127" s="29">
        <f t="shared" si="29"/>
        <v>5766.9670321030044</v>
      </c>
      <c r="Q127" s="419">
        <f>P127*44.4</f>
        <v>256053.33622537338</v>
      </c>
    </row>
    <row r="128" spans="1:17" x14ac:dyDescent="0.25">
      <c r="A128">
        <f t="shared" si="30"/>
        <v>37</v>
      </c>
      <c r="B128" s="234">
        <f t="shared" si="30"/>
        <v>2054</v>
      </c>
      <c r="C128" s="20">
        <f t="shared" si="20"/>
        <v>75</v>
      </c>
      <c r="D128" s="20">
        <f t="shared" si="31"/>
        <v>75</v>
      </c>
      <c r="E128" s="20">
        <f t="shared" si="32"/>
        <v>0</v>
      </c>
      <c r="F128" s="20">
        <f t="shared" si="21"/>
        <v>150</v>
      </c>
      <c r="G128" s="25">
        <v>1</v>
      </c>
      <c r="H128" s="116">
        <f t="shared" si="33"/>
        <v>2160000</v>
      </c>
      <c r="I128" s="116">
        <f t="shared" si="22"/>
        <v>3601.4479200000001</v>
      </c>
      <c r="J128" s="116">
        <f t="shared" si="35"/>
        <v>1440000</v>
      </c>
      <c r="K128" s="116">
        <f t="shared" si="24"/>
        <v>2462.91552</v>
      </c>
      <c r="L128" s="116">
        <f t="shared" si="34"/>
        <v>0</v>
      </c>
      <c r="M128" s="116">
        <f t="shared" si="26"/>
        <v>0</v>
      </c>
      <c r="N128" s="116">
        <f t="shared" si="27"/>
        <v>1158798.2832618025</v>
      </c>
      <c r="O128" s="116">
        <f t="shared" si="28"/>
        <v>11831.330472103005</v>
      </c>
      <c r="P128" s="29">
        <f t="shared" si="29"/>
        <v>5766.9670321030044</v>
      </c>
      <c r="Q128" s="419">
        <f>P128*44.9</f>
        <v>258936.8197414249</v>
      </c>
    </row>
    <row r="129" spans="1:34" x14ac:dyDescent="0.25">
      <c r="A129">
        <f t="shared" si="30"/>
        <v>38</v>
      </c>
      <c r="B129" s="234">
        <f t="shared" si="30"/>
        <v>2055</v>
      </c>
      <c r="C129" s="20">
        <f t="shared" si="20"/>
        <v>75</v>
      </c>
      <c r="D129" s="20">
        <f t="shared" si="31"/>
        <v>75</v>
      </c>
      <c r="E129" s="20">
        <f t="shared" si="32"/>
        <v>0</v>
      </c>
      <c r="F129" s="20">
        <f t="shared" si="21"/>
        <v>150</v>
      </c>
      <c r="G129" s="25">
        <v>1</v>
      </c>
      <c r="H129" s="116">
        <f t="shared" si="33"/>
        <v>2160000</v>
      </c>
      <c r="I129" s="116">
        <f t="shared" si="22"/>
        <v>3601.4479200000001</v>
      </c>
      <c r="J129" s="116">
        <f t="shared" si="35"/>
        <v>1440000</v>
      </c>
      <c r="K129" s="116">
        <f t="shared" si="24"/>
        <v>2462.91552</v>
      </c>
      <c r="L129" s="116">
        <f t="shared" si="34"/>
        <v>0</v>
      </c>
      <c r="M129" s="116">
        <f t="shared" si="26"/>
        <v>0</v>
      </c>
      <c r="N129" s="116">
        <f t="shared" si="27"/>
        <v>1158798.2832618025</v>
      </c>
      <c r="O129" s="116">
        <f t="shared" si="28"/>
        <v>11831.330472103005</v>
      </c>
      <c r="P129" s="29">
        <f t="shared" si="29"/>
        <v>5766.9670321030044</v>
      </c>
      <c r="Q129" s="419">
        <f>P129*44.9</f>
        <v>258936.8197414249</v>
      </c>
    </row>
    <row r="130" spans="1:34" x14ac:dyDescent="0.25">
      <c r="A130">
        <f t="shared" si="30"/>
        <v>39</v>
      </c>
      <c r="B130" s="234">
        <f t="shared" si="30"/>
        <v>2056</v>
      </c>
      <c r="C130" s="20">
        <f t="shared" si="20"/>
        <v>75</v>
      </c>
      <c r="D130" s="20">
        <f t="shared" si="31"/>
        <v>75</v>
      </c>
      <c r="E130" s="20">
        <f t="shared" si="32"/>
        <v>0</v>
      </c>
      <c r="F130" s="20">
        <f t="shared" si="21"/>
        <v>150</v>
      </c>
      <c r="G130" s="25">
        <v>1</v>
      </c>
      <c r="H130" s="116">
        <f t="shared" si="33"/>
        <v>2160000</v>
      </c>
      <c r="I130" s="116">
        <f t="shared" si="22"/>
        <v>3601.4479200000001</v>
      </c>
      <c r="J130" s="116">
        <f t="shared" si="35"/>
        <v>1440000</v>
      </c>
      <c r="K130" s="116">
        <f t="shared" si="24"/>
        <v>2462.91552</v>
      </c>
      <c r="L130" s="116">
        <f t="shared" si="34"/>
        <v>0</v>
      </c>
      <c r="M130" s="116">
        <f t="shared" si="26"/>
        <v>0</v>
      </c>
      <c r="N130" s="116">
        <f t="shared" si="27"/>
        <v>1158798.2832618025</v>
      </c>
      <c r="O130" s="116">
        <f t="shared" si="28"/>
        <v>11831.330472103005</v>
      </c>
      <c r="P130" s="29">
        <f t="shared" si="29"/>
        <v>5766.9670321030044</v>
      </c>
      <c r="Q130" s="419">
        <f>P130*44.9</f>
        <v>258936.8197414249</v>
      </c>
    </row>
    <row r="131" spans="1:34" x14ac:dyDescent="0.25">
      <c r="A131" s="3">
        <f t="shared" si="30"/>
        <v>40</v>
      </c>
      <c r="B131" s="235">
        <f t="shared" si="30"/>
        <v>2057</v>
      </c>
      <c r="C131" s="59">
        <f t="shared" si="20"/>
        <v>75</v>
      </c>
      <c r="D131" s="59">
        <f t="shared" si="31"/>
        <v>75</v>
      </c>
      <c r="E131" s="59">
        <f t="shared" si="32"/>
        <v>0</v>
      </c>
      <c r="F131" s="59">
        <f t="shared" si="21"/>
        <v>150</v>
      </c>
      <c r="G131" s="60">
        <v>1</v>
      </c>
      <c r="H131" s="113">
        <f t="shared" si="33"/>
        <v>2160000</v>
      </c>
      <c r="I131" s="113">
        <f t="shared" si="22"/>
        <v>3601.4479200000001</v>
      </c>
      <c r="J131" s="113">
        <f t="shared" si="35"/>
        <v>1440000</v>
      </c>
      <c r="K131" s="113">
        <f t="shared" si="24"/>
        <v>2462.91552</v>
      </c>
      <c r="L131" s="113">
        <f t="shared" si="34"/>
        <v>0</v>
      </c>
      <c r="M131" s="113">
        <f t="shared" si="26"/>
        <v>0</v>
      </c>
      <c r="N131" s="113">
        <f t="shared" si="27"/>
        <v>1158798.2832618025</v>
      </c>
      <c r="O131" s="113">
        <f t="shared" si="28"/>
        <v>11831.330472103005</v>
      </c>
      <c r="P131" s="432">
        <f t="shared" si="29"/>
        <v>5766.9670321030044</v>
      </c>
      <c r="Q131" s="433">
        <f>P131*44.9</f>
        <v>258936.8197414249</v>
      </c>
    </row>
    <row r="132" spans="1:34" x14ac:dyDescent="0.25">
      <c r="A132" s="1" t="s">
        <v>3</v>
      </c>
      <c r="B132" s="232"/>
      <c r="C132" s="19"/>
      <c r="D132" s="19"/>
      <c r="E132" s="19"/>
      <c r="F132" s="20"/>
      <c r="G132" s="25"/>
      <c r="H132" s="116"/>
      <c r="I132" s="116"/>
      <c r="J132" s="116"/>
      <c r="K132" s="116"/>
      <c r="L132" s="116"/>
      <c r="M132" s="116"/>
      <c r="N132" s="116"/>
      <c r="O132" s="116"/>
      <c r="P132" s="108"/>
      <c r="Q132" s="434">
        <f>SUM(Q92:Q131)</f>
        <v>7042745.9084929666</v>
      </c>
    </row>
    <row r="133" spans="1:34" x14ac:dyDescent="0.25">
      <c r="A133" s="388"/>
      <c r="B133" s="24"/>
      <c r="C133" s="19"/>
      <c r="D133" s="19"/>
      <c r="E133" s="19"/>
      <c r="F133" s="20"/>
      <c r="G133" s="25"/>
      <c r="H133" s="116"/>
      <c r="I133" s="116"/>
      <c r="J133" s="116"/>
      <c r="K133" s="116"/>
      <c r="L133" s="116"/>
      <c r="M133" s="116"/>
      <c r="N133" s="116"/>
      <c r="O133" s="116"/>
      <c r="P133" s="282" t="s">
        <v>4</v>
      </c>
      <c r="Q133" s="425">
        <f>NPV(R133,Q92:Q131)</f>
        <v>1584807.6986858663</v>
      </c>
      <c r="R133" s="161">
        <v>7.0000000000000007E-2</v>
      </c>
    </row>
    <row r="134" spans="1:34" x14ac:dyDescent="0.25">
      <c r="A134" s="388"/>
      <c r="B134" s="24"/>
      <c r="C134" s="19"/>
      <c r="D134" s="19"/>
      <c r="E134" s="19"/>
      <c r="F134" s="20"/>
      <c r="G134" s="25"/>
      <c r="H134" s="116"/>
      <c r="I134" s="116"/>
      <c r="J134" s="116"/>
      <c r="K134" s="116"/>
      <c r="L134" s="116"/>
      <c r="M134" s="116"/>
      <c r="N134" s="116"/>
      <c r="O134" s="116"/>
      <c r="P134" s="108"/>
    </row>
    <row r="135" spans="1:34" x14ac:dyDescent="0.25">
      <c r="A135" s="65" t="s">
        <v>374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</row>
    <row r="136" spans="1:34" ht="60" x14ac:dyDescent="0.25">
      <c r="A136" s="435" t="s">
        <v>358</v>
      </c>
      <c r="B136" s="436" t="s">
        <v>375</v>
      </c>
      <c r="C136" s="437" t="s">
        <v>206</v>
      </c>
      <c r="D136" s="438"/>
      <c r="E136" s="438"/>
      <c r="F136" s="6"/>
      <c r="G136" s="6"/>
      <c r="H136" s="6"/>
      <c r="I136" s="6"/>
      <c r="J136" s="396" t="s">
        <v>359</v>
      </c>
      <c r="K136" s="6" t="s">
        <v>376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5">
      <c r="A137" s="179" t="s">
        <v>207</v>
      </c>
      <c r="B137" s="215" t="s">
        <v>377</v>
      </c>
      <c r="C137" s="180">
        <v>369</v>
      </c>
      <c r="D137" s="6"/>
      <c r="E137" s="6" t="s">
        <v>215</v>
      </c>
      <c r="F137" s="6">
        <v>453.6</v>
      </c>
      <c r="G137" s="6"/>
      <c r="H137" s="439" t="s">
        <v>378</v>
      </c>
      <c r="I137" s="6"/>
      <c r="J137" s="440"/>
      <c r="K137" s="176">
        <f>2205*454</f>
        <v>1001070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48" x14ac:dyDescent="0.25">
      <c r="A138" s="179" t="s">
        <v>208</v>
      </c>
      <c r="B138" s="591">
        <f>V5</f>
        <v>1999</v>
      </c>
      <c r="C138" s="181">
        <f>D188</f>
        <v>1.2587702599310828</v>
      </c>
      <c r="D138" s="6"/>
      <c r="E138" s="185" t="s">
        <v>273</v>
      </c>
      <c r="F138" s="170">
        <v>2205</v>
      </c>
      <c r="G138" s="6"/>
      <c r="H138" s="441">
        <v>1300</v>
      </c>
      <c r="I138" s="6"/>
      <c r="J138" s="401">
        <f>V5</f>
        <v>1999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s="64" customFormat="1" x14ac:dyDescent="0.25">
      <c r="A139" s="179" t="s">
        <v>209</v>
      </c>
      <c r="B139" s="591">
        <f>V3</f>
        <v>7877</v>
      </c>
      <c r="C139">
        <v>0.95</v>
      </c>
      <c r="D139"/>
      <c r="E139" s="179" t="s">
        <v>216</v>
      </c>
      <c r="F139" s="170">
        <v>2240</v>
      </c>
      <c r="G139" s="129"/>
      <c r="H139" s="441">
        <v>5300</v>
      </c>
      <c r="I139"/>
      <c r="J139" s="401">
        <f>V3</f>
        <v>7877</v>
      </c>
      <c r="K139" s="109"/>
      <c r="L139" s="68"/>
      <c r="M139" s="68"/>
      <c r="N139" s="68"/>
      <c r="O139" s="68"/>
      <c r="P139" s="68"/>
      <c r="Q139" s="68"/>
      <c r="R139"/>
      <c r="S139"/>
      <c r="T139"/>
      <c r="U139"/>
      <c r="V139"/>
      <c r="W139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/>
    </row>
    <row r="140" spans="1:34" s="6" customFormat="1" x14ac:dyDescent="0.25">
      <c r="A140" s="179" t="s">
        <v>210</v>
      </c>
      <c r="B140" s="591">
        <f>V4</f>
        <v>360383</v>
      </c>
      <c r="C140">
        <v>5.1999999999999998E-3</v>
      </c>
      <c r="D140" s="146"/>
      <c r="E140" s="156"/>
      <c r="F140" s="129"/>
      <c r="G140" s="129"/>
      <c r="H140" s="441">
        <v>290000</v>
      </c>
      <c r="I140"/>
      <c r="J140" s="401">
        <f>V4</f>
        <v>360383</v>
      </c>
      <c r="K140" s="109"/>
      <c r="L140" s="68"/>
      <c r="M140" s="68"/>
      <c r="N140" s="68"/>
      <c r="O140" s="68"/>
      <c r="P140" s="68"/>
      <c r="Q140" s="68"/>
      <c r="R140"/>
      <c r="S140"/>
      <c r="T140"/>
      <c r="U140"/>
      <c r="V140"/>
      <c r="W140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/>
    </row>
    <row r="141" spans="1:34" s="6" customFormat="1" x14ac:dyDescent="0.25">
      <c r="A141" s="179" t="s">
        <v>211</v>
      </c>
      <c r="B141" s="591">
        <f>V6</f>
        <v>46561</v>
      </c>
      <c r="C141" s="181">
        <f>F188</f>
        <v>1.7068665365068559E-2</v>
      </c>
      <c r="D141" s="146"/>
      <c r="E141" s="156"/>
      <c r="F141" s="129"/>
      <c r="G141" s="129"/>
      <c r="H141" s="442">
        <v>31000</v>
      </c>
      <c r="I141"/>
      <c r="J141" s="409">
        <f>V6</f>
        <v>46561</v>
      </c>
      <c r="K141" s="109"/>
      <c r="L141" s="68"/>
      <c r="M141" s="68"/>
      <c r="N141" s="68"/>
      <c r="O141" s="68"/>
      <c r="P141" s="68"/>
      <c r="Q141" s="68"/>
      <c r="R141"/>
      <c r="S141"/>
      <c r="T141"/>
      <c r="U141"/>
      <c r="V141"/>
      <c r="W141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/>
    </row>
    <row r="142" spans="1:34" s="6" customFormat="1" x14ac:dyDescent="0.25">
      <c r="A142" s="14"/>
      <c r="D142" s="146"/>
      <c r="E142" s="68"/>
      <c r="F142" s="108"/>
      <c r="G142" s="108"/>
      <c r="H142" s="108"/>
      <c r="I142" s="108"/>
      <c r="J142" s="108"/>
      <c r="K142" s="109"/>
      <c r="L142" s="68"/>
      <c r="M142" s="68"/>
      <c r="N142" s="68"/>
      <c r="O142" s="68"/>
      <c r="P142" s="68"/>
      <c r="Q142" s="68"/>
      <c r="R142"/>
      <c r="S142"/>
      <c r="T142"/>
      <c r="U142"/>
      <c r="V142"/>
      <c r="W142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/>
    </row>
    <row r="143" spans="1:34" ht="46.5" x14ac:dyDescent="0.35">
      <c r="A143" s="196" t="s">
        <v>0</v>
      </c>
      <c r="B143" s="196" t="s">
        <v>0</v>
      </c>
      <c r="C143" s="290" t="s">
        <v>205</v>
      </c>
      <c r="D143" s="182" t="s">
        <v>270</v>
      </c>
      <c r="E143" s="182" t="s">
        <v>271</v>
      </c>
      <c r="F143" s="182" t="s">
        <v>379</v>
      </c>
      <c r="G143" s="443" t="s">
        <v>380</v>
      </c>
      <c r="H143" s="182" t="s">
        <v>381</v>
      </c>
      <c r="I143" s="183" t="s">
        <v>212</v>
      </c>
      <c r="J143" s="182" t="s">
        <v>382</v>
      </c>
      <c r="K143" s="183" t="s">
        <v>213</v>
      </c>
      <c r="L143" s="182" t="s">
        <v>383</v>
      </c>
      <c r="M143" s="183" t="s">
        <v>272</v>
      </c>
      <c r="N143" s="182" t="s">
        <v>384</v>
      </c>
      <c r="O143" s="183" t="s">
        <v>214</v>
      </c>
      <c r="P143" s="444" t="s">
        <v>227</v>
      </c>
      <c r="Q143" s="445" t="s">
        <v>3</v>
      </c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</row>
    <row r="144" spans="1:34" x14ac:dyDescent="0.25">
      <c r="A144" s="173">
        <v>1</v>
      </c>
      <c r="B144" s="6">
        <v>2018</v>
      </c>
      <c r="C144" s="291">
        <v>0</v>
      </c>
      <c r="D144" s="184">
        <f t="shared" ref="D144:D183" si="36">(C144*$C$137)/F$137</f>
        <v>0</v>
      </c>
      <c r="E144" s="186">
        <f t="shared" ref="E144:E183" si="37">D144/$F$138</f>
        <v>0</v>
      </c>
      <c r="F144" s="467">
        <v>43</v>
      </c>
      <c r="G144" s="468">
        <f t="shared" ref="G144:G183" si="38">E144*F144</f>
        <v>0</v>
      </c>
      <c r="H144" s="188">
        <f t="shared" ref="H144:H183" si="39">((C144*$C$139)/$F$137)/$F$139</f>
        <v>0</v>
      </c>
      <c r="I144" s="493">
        <f t="shared" ref="I144:I183" si="40">H144*$B$139</f>
        <v>0</v>
      </c>
      <c r="J144" s="188">
        <f t="shared" ref="J144:J183" si="41">((C144*$C$140)/$F$137)/$F$139</f>
        <v>0</v>
      </c>
      <c r="K144" s="493">
        <f t="shared" ref="K144:K183" si="42">J144*$B$140</f>
        <v>0</v>
      </c>
      <c r="L144" s="188">
        <f t="shared" ref="L144:L183" si="43">((C144*$C$141)/$F$137)/$F$139</f>
        <v>0</v>
      </c>
      <c r="M144" s="493">
        <f t="shared" ref="M144:M183" si="44">L144*$B$141</f>
        <v>0</v>
      </c>
      <c r="N144" s="188">
        <f t="shared" ref="N144:N183" si="45">((C144*$C$138)/$F$137)/$F$139</f>
        <v>0</v>
      </c>
      <c r="O144" s="493">
        <f t="shared" ref="O144:O183" si="46">N144*$B$138</f>
        <v>0</v>
      </c>
      <c r="P144" s="496">
        <f t="shared" ref="P144:P184" si="47">I144+K144+M144+O144</f>
        <v>0</v>
      </c>
      <c r="Q144" s="497">
        <f t="shared" ref="Q144:Q183" si="48">G144+I144+K144+M144+O144</f>
        <v>0</v>
      </c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</row>
    <row r="145" spans="1:17" x14ac:dyDescent="0.25">
      <c r="A145" s="107">
        <f>A144+1</f>
        <v>2</v>
      </c>
      <c r="B145" s="175">
        <f t="shared" ref="B145:B183" si="49">B144+1</f>
        <v>2019</v>
      </c>
      <c r="C145" s="291">
        <v>0</v>
      </c>
      <c r="D145" s="184">
        <f t="shared" si="36"/>
        <v>0</v>
      </c>
      <c r="E145" s="186">
        <f t="shared" si="37"/>
        <v>0</v>
      </c>
      <c r="F145" s="467">
        <v>44</v>
      </c>
      <c r="G145" s="469">
        <f t="shared" si="38"/>
        <v>0</v>
      </c>
      <c r="H145" s="188">
        <f t="shared" si="39"/>
        <v>0</v>
      </c>
      <c r="I145" s="493">
        <f t="shared" si="40"/>
        <v>0</v>
      </c>
      <c r="J145" s="188">
        <f t="shared" si="41"/>
        <v>0</v>
      </c>
      <c r="K145" s="493">
        <f t="shared" si="42"/>
        <v>0</v>
      </c>
      <c r="L145" s="188">
        <f t="shared" si="43"/>
        <v>0</v>
      </c>
      <c r="M145" s="493">
        <f t="shared" si="44"/>
        <v>0</v>
      </c>
      <c r="N145" s="188">
        <f t="shared" si="45"/>
        <v>0</v>
      </c>
      <c r="O145" s="493">
        <f t="shared" si="46"/>
        <v>0</v>
      </c>
      <c r="P145" s="496">
        <f t="shared" si="47"/>
        <v>0</v>
      </c>
      <c r="Q145" s="497">
        <f t="shared" si="48"/>
        <v>0</v>
      </c>
    </row>
    <row r="146" spans="1:17" x14ac:dyDescent="0.25">
      <c r="A146" s="107">
        <f t="shared" ref="A146:A183" si="50">A145+1</f>
        <v>3</v>
      </c>
      <c r="B146" s="175">
        <f t="shared" si="49"/>
        <v>2020</v>
      </c>
      <c r="C146" s="291">
        <v>0</v>
      </c>
      <c r="D146" s="184">
        <f t="shared" si="36"/>
        <v>0</v>
      </c>
      <c r="E146" s="186">
        <f t="shared" si="37"/>
        <v>0</v>
      </c>
      <c r="F146" s="467">
        <v>45</v>
      </c>
      <c r="G146" s="469">
        <f t="shared" si="38"/>
        <v>0</v>
      </c>
      <c r="H146" s="188">
        <f t="shared" si="39"/>
        <v>0</v>
      </c>
      <c r="I146" s="493">
        <f t="shared" si="40"/>
        <v>0</v>
      </c>
      <c r="J146" s="188">
        <f t="shared" si="41"/>
        <v>0</v>
      </c>
      <c r="K146" s="493">
        <f t="shared" si="42"/>
        <v>0</v>
      </c>
      <c r="L146" s="188">
        <f t="shared" si="43"/>
        <v>0</v>
      </c>
      <c r="M146" s="493">
        <f t="shared" si="44"/>
        <v>0</v>
      </c>
      <c r="N146" s="188">
        <f t="shared" si="45"/>
        <v>0</v>
      </c>
      <c r="O146" s="493">
        <f t="shared" si="46"/>
        <v>0</v>
      </c>
      <c r="P146" s="496">
        <f t="shared" si="47"/>
        <v>0</v>
      </c>
      <c r="Q146" s="497">
        <f t="shared" si="48"/>
        <v>0</v>
      </c>
    </row>
    <row r="147" spans="1:17" x14ac:dyDescent="0.25">
      <c r="A147" s="107">
        <f t="shared" si="50"/>
        <v>4</v>
      </c>
      <c r="B147" s="175">
        <f t="shared" si="49"/>
        <v>2021</v>
      </c>
      <c r="C147" s="291">
        <v>0</v>
      </c>
      <c r="D147" s="184">
        <f t="shared" si="36"/>
        <v>0</v>
      </c>
      <c r="E147" s="186">
        <f t="shared" si="37"/>
        <v>0</v>
      </c>
      <c r="F147" s="467">
        <v>46</v>
      </c>
      <c r="G147" s="469">
        <f t="shared" si="38"/>
        <v>0</v>
      </c>
      <c r="H147" s="188">
        <f t="shared" si="39"/>
        <v>0</v>
      </c>
      <c r="I147" s="493">
        <f t="shared" si="40"/>
        <v>0</v>
      </c>
      <c r="J147" s="188">
        <f t="shared" si="41"/>
        <v>0</v>
      </c>
      <c r="K147" s="493">
        <f t="shared" si="42"/>
        <v>0</v>
      </c>
      <c r="L147" s="188">
        <f t="shared" si="43"/>
        <v>0</v>
      </c>
      <c r="M147" s="493">
        <f t="shared" si="44"/>
        <v>0</v>
      </c>
      <c r="N147" s="188">
        <f t="shared" si="45"/>
        <v>0</v>
      </c>
      <c r="O147" s="493">
        <f t="shared" si="46"/>
        <v>0</v>
      </c>
      <c r="P147" s="496">
        <f t="shared" si="47"/>
        <v>0</v>
      </c>
      <c r="Q147" s="497">
        <f t="shared" si="48"/>
        <v>0</v>
      </c>
    </row>
    <row r="148" spans="1:17" x14ac:dyDescent="0.25">
      <c r="A148" s="107">
        <f t="shared" si="50"/>
        <v>5</v>
      </c>
      <c r="B148" s="175">
        <f t="shared" si="49"/>
        <v>2022</v>
      </c>
      <c r="C148" s="291">
        <f>Ridership!F$17</f>
        <v>89445.217406463853</v>
      </c>
      <c r="D148" s="184">
        <f t="shared" si="36"/>
        <v>72762.974477480515</v>
      </c>
      <c r="E148" s="186">
        <f t="shared" si="37"/>
        <v>32.999081395682772</v>
      </c>
      <c r="F148" s="467">
        <v>47</v>
      </c>
      <c r="G148" s="469">
        <f t="shared" si="38"/>
        <v>1550.9568255970903</v>
      </c>
      <c r="H148" s="188">
        <f t="shared" si="39"/>
        <v>8.3629531738296653E-2</v>
      </c>
      <c r="I148" s="493">
        <f t="shared" si="40"/>
        <v>658.74982150256278</v>
      </c>
      <c r="J148" s="188">
        <f t="shared" si="41"/>
        <v>4.5776164740962379E-4</v>
      </c>
      <c r="K148" s="493">
        <f t="shared" si="42"/>
        <v>164.96951577842245</v>
      </c>
      <c r="L148" s="188">
        <f t="shared" si="43"/>
        <v>1.5025731493456484E-3</v>
      </c>
      <c r="M148" s="493">
        <f t="shared" si="44"/>
        <v>69.961308406682733</v>
      </c>
      <c r="N148" s="188">
        <f t="shared" si="45"/>
        <v>0.11081091305697939</v>
      </c>
      <c r="O148" s="493">
        <f t="shared" si="46"/>
        <v>221.5110152009018</v>
      </c>
      <c r="P148" s="496">
        <f t="shared" si="47"/>
        <v>1115.1916608885697</v>
      </c>
      <c r="Q148" s="497">
        <f t="shared" si="48"/>
        <v>2666.1484864856607</v>
      </c>
    </row>
    <row r="149" spans="1:17" x14ac:dyDescent="0.25">
      <c r="A149" s="107">
        <f t="shared" si="50"/>
        <v>6</v>
      </c>
      <c r="B149" s="175">
        <f t="shared" si="49"/>
        <v>2023</v>
      </c>
      <c r="C149" s="291">
        <f>Ridership!G$17</f>
        <v>254305.86060531309</v>
      </c>
      <c r="D149" s="184">
        <f t="shared" si="36"/>
        <v>206875.79930194118</v>
      </c>
      <c r="E149" s="186">
        <f t="shared" si="37"/>
        <v>93.821224173215953</v>
      </c>
      <c r="F149" s="467">
        <v>49</v>
      </c>
      <c r="G149" s="469">
        <f t="shared" si="38"/>
        <v>4597.2399844875818</v>
      </c>
      <c r="H149" s="188">
        <f t="shared" si="39"/>
        <v>0.23777101400605416</v>
      </c>
      <c r="I149" s="493">
        <f t="shared" si="40"/>
        <v>1872.9222773256886</v>
      </c>
      <c r="J149" s="188">
        <f t="shared" si="41"/>
        <v>1.3014834450857701E-3</v>
      </c>
      <c r="K149" s="493">
        <f t="shared" si="42"/>
        <v>469.03250839034507</v>
      </c>
      <c r="L149" s="188">
        <f t="shared" si="43"/>
        <v>4.2720356542972305E-3</v>
      </c>
      <c r="M149" s="493">
        <f t="shared" si="44"/>
        <v>198.91025209973336</v>
      </c>
      <c r="N149" s="188">
        <f t="shared" si="45"/>
        <v>0.31505166432050313</v>
      </c>
      <c r="O149" s="493">
        <f t="shared" si="46"/>
        <v>629.78827697668578</v>
      </c>
      <c r="P149" s="496">
        <f t="shared" si="47"/>
        <v>3170.6533147924529</v>
      </c>
      <c r="Q149" s="497">
        <f t="shared" si="48"/>
        <v>7767.8932992800346</v>
      </c>
    </row>
    <row r="150" spans="1:17" x14ac:dyDescent="0.25">
      <c r="A150" s="107">
        <f t="shared" si="50"/>
        <v>7</v>
      </c>
      <c r="B150" s="175">
        <f t="shared" si="49"/>
        <v>2024</v>
      </c>
      <c r="C150" s="291">
        <f>Ridership!H$17</f>
        <v>412556.60547762894</v>
      </c>
      <c r="D150" s="184">
        <f t="shared" si="36"/>
        <v>335611.52429727744</v>
      </c>
      <c r="E150" s="186">
        <f t="shared" si="37"/>
        <v>152.20477292393534</v>
      </c>
      <c r="F150" s="467">
        <v>51</v>
      </c>
      <c r="G150" s="469">
        <f t="shared" si="38"/>
        <v>7762.4434191207019</v>
      </c>
      <c r="H150" s="188">
        <f t="shared" si="39"/>
        <v>0.38573237040555269</v>
      </c>
      <c r="I150" s="493">
        <f t="shared" si="40"/>
        <v>3038.4138816845384</v>
      </c>
      <c r="J150" s="188">
        <f t="shared" si="41"/>
        <v>2.111377185377762E-3</v>
      </c>
      <c r="K150" s="493">
        <f t="shared" si="42"/>
        <v>760.90444419799394</v>
      </c>
      <c r="L150" s="188">
        <f t="shared" si="43"/>
        <v>6.9304597378179508E-3</v>
      </c>
      <c r="M150" s="493">
        <f t="shared" si="44"/>
        <v>322.6891358525416</v>
      </c>
      <c r="N150" s="188">
        <f t="shared" si="45"/>
        <v>0.51110361700971607</v>
      </c>
      <c r="O150" s="493">
        <f t="shared" si="46"/>
        <v>1021.6961304024225</v>
      </c>
      <c r="P150" s="496">
        <f t="shared" si="47"/>
        <v>5143.7035921374963</v>
      </c>
      <c r="Q150" s="497">
        <f t="shared" si="48"/>
        <v>12906.147011258197</v>
      </c>
    </row>
    <row r="151" spans="1:17" x14ac:dyDescent="0.25">
      <c r="A151" s="107">
        <f t="shared" si="50"/>
        <v>8</v>
      </c>
      <c r="B151" s="175">
        <f t="shared" si="49"/>
        <v>2025</v>
      </c>
      <c r="C151" s="291">
        <f>Ridership!I$17</f>
        <v>564124.96275006607</v>
      </c>
      <c r="D151" s="184">
        <f t="shared" si="36"/>
        <v>458911.18001493468</v>
      </c>
      <c r="E151" s="186">
        <f t="shared" si="37"/>
        <v>208.12298413375723</v>
      </c>
      <c r="F151" s="470">
        <v>52</v>
      </c>
      <c r="G151" s="469">
        <f t="shared" si="38"/>
        <v>10822.395174955376</v>
      </c>
      <c r="H151" s="188">
        <f t="shared" si="39"/>
        <v>0.52744582488166369</v>
      </c>
      <c r="I151" s="493">
        <f t="shared" si="40"/>
        <v>4154.6907625928652</v>
      </c>
      <c r="J151" s="188">
        <f t="shared" si="41"/>
        <v>2.8870718835627904E-3</v>
      </c>
      <c r="K151" s="493">
        <f t="shared" si="42"/>
        <v>1040.451626614009</v>
      </c>
      <c r="L151" s="188">
        <f t="shared" si="43"/>
        <v>9.476627666429125E-3</v>
      </c>
      <c r="M151" s="493">
        <f t="shared" si="44"/>
        <v>441.24126077660651</v>
      </c>
      <c r="N151" s="188">
        <f t="shared" si="45"/>
        <v>0.69887696640616448</v>
      </c>
      <c r="O151" s="493">
        <f t="shared" si="46"/>
        <v>1397.0550558459229</v>
      </c>
      <c r="P151" s="496">
        <f t="shared" si="47"/>
        <v>7033.4387058294033</v>
      </c>
      <c r="Q151" s="497">
        <f t="shared" si="48"/>
        <v>17855.833880784779</v>
      </c>
    </row>
    <row r="152" spans="1:17" x14ac:dyDescent="0.25">
      <c r="A152" s="107">
        <f t="shared" si="50"/>
        <v>9</v>
      </c>
      <c r="B152" s="175">
        <f t="shared" si="49"/>
        <v>2026</v>
      </c>
      <c r="C152" s="291">
        <f>Ridership!J$17</f>
        <v>708938.31356493104</v>
      </c>
      <c r="D152" s="184">
        <f t="shared" si="36"/>
        <v>576715.69159051927</v>
      </c>
      <c r="E152" s="186">
        <f t="shared" si="37"/>
        <v>261.54906648096113</v>
      </c>
      <c r="F152" s="470">
        <v>52</v>
      </c>
      <c r="G152" s="469">
        <f t="shared" si="38"/>
        <v>13600.551457009979</v>
      </c>
      <c r="H152" s="188">
        <f t="shared" si="39"/>
        <v>0.66284348022042361</v>
      </c>
      <c r="I152" s="493">
        <f t="shared" si="40"/>
        <v>5221.2180936962768</v>
      </c>
      <c r="J152" s="188">
        <f t="shared" si="41"/>
        <v>3.6281958917328445E-3</v>
      </c>
      <c r="K152" s="493">
        <f t="shared" si="42"/>
        <v>1307.5401200503577</v>
      </c>
      <c r="L152" s="188">
        <f t="shared" si="43"/>
        <v>1.1909319529789315E-2</v>
      </c>
      <c r="M152" s="493">
        <f t="shared" si="44"/>
        <v>554.50982662652029</v>
      </c>
      <c r="N152" s="188">
        <f t="shared" si="45"/>
        <v>0.87828174725335384</v>
      </c>
      <c r="O152" s="493">
        <f t="shared" si="46"/>
        <v>1755.6852127594543</v>
      </c>
      <c r="P152" s="496">
        <f t="shared" si="47"/>
        <v>8838.9532531326095</v>
      </c>
      <c r="Q152" s="497">
        <f t="shared" si="48"/>
        <v>22439.504710142588</v>
      </c>
    </row>
    <row r="153" spans="1:17" x14ac:dyDescent="0.25">
      <c r="A153" s="107">
        <f t="shared" si="50"/>
        <v>10</v>
      </c>
      <c r="B153" s="175">
        <f t="shared" si="49"/>
        <v>2027</v>
      </c>
      <c r="C153" s="291">
        <f>Ridership!K$17</f>
        <v>916923.93600543775</v>
      </c>
      <c r="D153" s="184">
        <f t="shared" si="36"/>
        <v>745910.34476632834</v>
      </c>
      <c r="E153" s="186">
        <f t="shared" si="37"/>
        <v>338.2813354949335</v>
      </c>
      <c r="F153" s="470">
        <v>54</v>
      </c>
      <c r="G153" s="469">
        <f t="shared" si="38"/>
        <v>18267.192116726408</v>
      </c>
      <c r="H153" s="188">
        <f t="shared" si="39"/>
        <v>0.85730597600659575</v>
      </c>
      <c r="I153" s="493">
        <f t="shared" si="40"/>
        <v>6752.9991730039546</v>
      </c>
      <c r="J153" s="188">
        <f t="shared" si="41"/>
        <v>4.6926221844571557E-3</v>
      </c>
      <c r="K153" s="493">
        <f t="shared" si="42"/>
        <v>1691.1412607012232</v>
      </c>
      <c r="L153" s="188">
        <f t="shared" si="43"/>
        <v>1.5403230336768504E-2</v>
      </c>
      <c r="M153" s="493">
        <f t="shared" si="44"/>
        <v>717.18980771027827</v>
      </c>
      <c r="N153" s="188">
        <f t="shared" si="45"/>
        <v>1.1359487013245193</v>
      </c>
      <c r="O153" s="493">
        <f t="shared" si="46"/>
        <v>2270.761453947714</v>
      </c>
      <c r="P153" s="496">
        <f t="shared" si="47"/>
        <v>11432.091695363169</v>
      </c>
      <c r="Q153" s="497">
        <f t="shared" si="48"/>
        <v>29699.283812089579</v>
      </c>
    </row>
    <row r="154" spans="1:17" x14ac:dyDescent="0.25">
      <c r="A154" s="107">
        <f t="shared" si="50"/>
        <v>11</v>
      </c>
      <c r="B154" s="175">
        <f t="shared" si="49"/>
        <v>2028</v>
      </c>
      <c r="C154" s="291">
        <f>Ridership!L$17</f>
        <v>1118009.0327921624</v>
      </c>
      <c r="D154" s="184">
        <f t="shared" si="36"/>
        <v>909491.47508886224</v>
      </c>
      <c r="E154" s="186">
        <f t="shared" si="37"/>
        <v>412.4677891559466</v>
      </c>
      <c r="F154" s="470">
        <v>55</v>
      </c>
      <c r="G154" s="469">
        <f t="shared" si="38"/>
        <v>22685.728403577064</v>
      </c>
      <c r="H154" s="188">
        <f t="shared" si="39"/>
        <v>1.0453166150484163</v>
      </c>
      <c r="I154" s="493">
        <f t="shared" si="40"/>
        <v>8233.9589767363759</v>
      </c>
      <c r="J154" s="188">
        <f t="shared" si="41"/>
        <v>5.7217330507913318E-3</v>
      </c>
      <c r="K154" s="493">
        <f t="shared" si="42"/>
        <v>2062.0153220433326</v>
      </c>
      <c r="L154" s="188">
        <f t="shared" si="43"/>
        <v>1.878122052927117E-2</v>
      </c>
      <c r="M154" s="493">
        <f t="shared" si="44"/>
        <v>874.47240906339493</v>
      </c>
      <c r="N154" s="188">
        <f t="shared" si="45"/>
        <v>1.3850668076155523</v>
      </c>
      <c r="O154" s="493">
        <f t="shared" si="46"/>
        <v>2768.748548423489</v>
      </c>
      <c r="P154" s="496">
        <f t="shared" si="47"/>
        <v>13939.195256266594</v>
      </c>
      <c r="Q154" s="497">
        <f t="shared" si="48"/>
        <v>36624.923659843655</v>
      </c>
    </row>
    <row r="155" spans="1:17" x14ac:dyDescent="0.25">
      <c r="A155" s="107">
        <f t="shared" si="50"/>
        <v>12</v>
      </c>
      <c r="B155" s="175">
        <f t="shared" si="49"/>
        <v>2029</v>
      </c>
      <c r="C155" s="291">
        <f>Ridership!M$17</f>
        <v>1312120.7601881549</v>
      </c>
      <c r="D155" s="184">
        <f t="shared" si="36"/>
        <v>1067399.824756237</v>
      </c>
      <c r="E155" s="186">
        <f t="shared" si="37"/>
        <v>484.08155317743172</v>
      </c>
      <c r="F155" s="470">
        <v>56</v>
      </c>
      <c r="G155" s="469">
        <f t="shared" si="38"/>
        <v>27108.566977936178</v>
      </c>
      <c r="H155" s="188">
        <f t="shared" si="39"/>
        <v>1.226807289874208</v>
      </c>
      <c r="I155" s="493">
        <f t="shared" si="40"/>
        <v>9663.5610223391359</v>
      </c>
      <c r="J155" s="188">
        <f t="shared" si="41"/>
        <v>6.7151556919430319E-3</v>
      </c>
      <c r="K155" s="493">
        <f t="shared" si="42"/>
        <v>2420.0279537295055</v>
      </c>
      <c r="L155" s="188">
        <f t="shared" si="43"/>
        <v>2.2042066419252122E-2</v>
      </c>
      <c r="M155" s="493">
        <f t="shared" si="44"/>
        <v>1026.3006545467981</v>
      </c>
      <c r="N155" s="188">
        <f t="shared" si="45"/>
        <v>1.6255458222740042</v>
      </c>
      <c r="O155" s="493">
        <f t="shared" si="46"/>
        <v>3249.4660987257344</v>
      </c>
      <c r="P155" s="496">
        <f t="shared" si="47"/>
        <v>16359.355729341172</v>
      </c>
      <c r="Q155" s="497">
        <f t="shared" si="48"/>
        <v>43467.922707277357</v>
      </c>
    </row>
    <row r="156" spans="1:17" x14ac:dyDescent="0.25">
      <c r="A156" s="107">
        <f t="shared" si="50"/>
        <v>13</v>
      </c>
      <c r="B156" s="175">
        <f t="shared" si="49"/>
        <v>2030</v>
      </c>
      <c r="C156" s="291">
        <f>Ridership!N$17</f>
        <v>1499186.2581513219</v>
      </c>
      <c r="D156" s="184">
        <f t="shared" si="36"/>
        <v>1219576.1227024642</v>
      </c>
      <c r="E156" s="186">
        <f t="shared" si="37"/>
        <v>553.09574725735342</v>
      </c>
      <c r="F156" s="470">
        <v>57</v>
      </c>
      <c r="G156" s="469">
        <f t="shared" si="38"/>
        <v>31526.457593669144</v>
      </c>
      <c r="H156" s="188">
        <f t="shared" si="39"/>
        <v>1.4017098777673018</v>
      </c>
      <c r="I156" s="493">
        <f t="shared" si="40"/>
        <v>11041.268707173036</v>
      </c>
      <c r="J156" s="188">
        <f t="shared" si="41"/>
        <v>7.6725172256736519E-3</v>
      </c>
      <c r="K156" s="493">
        <f t="shared" si="42"/>
        <v>2765.0447753399476</v>
      </c>
      <c r="L156" s="188">
        <f t="shared" si="43"/>
        <v>2.5184544044759186E-2</v>
      </c>
      <c r="M156" s="493">
        <f t="shared" si="44"/>
        <v>1172.6175552680324</v>
      </c>
      <c r="N156" s="188">
        <f t="shared" si="45"/>
        <v>1.8572954812474871</v>
      </c>
      <c r="O156" s="493">
        <f t="shared" si="46"/>
        <v>3712.7336670137265</v>
      </c>
      <c r="P156" s="496">
        <f t="shared" si="47"/>
        <v>18691.664704794741</v>
      </c>
      <c r="Q156" s="497">
        <f t="shared" si="48"/>
        <v>50218.122298463888</v>
      </c>
    </row>
    <row r="157" spans="1:17" x14ac:dyDescent="0.25">
      <c r="A157" s="107">
        <f t="shared" si="50"/>
        <v>14</v>
      </c>
      <c r="B157" s="175">
        <f t="shared" si="49"/>
        <v>2031</v>
      </c>
      <c r="C157" s="291">
        <f>Ridership!O$17</f>
        <v>1679132.6817736954</v>
      </c>
      <c r="D157" s="184">
        <f t="shared" si="36"/>
        <v>1365961.1101730459</v>
      </c>
      <c r="E157" s="186">
        <f t="shared" si="37"/>
        <v>619.4834966771183</v>
      </c>
      <c r="F157" s="470">
        <v>58</v>
      </c>
      <c r="G157" s="469">
        <f t="shared" si="38"/>
        <v>35930.042807272861</v>
      </c>
      <c r="H157" s="188">
        <f t="shared" si="39"/>
        <v>1.5699562701611418</v>
      </c>
      <c r="I157" s="493">
        <f t="shared" si="40"/>
        <v>12366.545540059315</v>
      </c>
      <c r="J157" s="188">
        <f t="shared" si="41"/>
        <v>8.5934448471978279E-3</v>
      </c>
      <c r="K157" s="493">
        <f t="shared" si="42"/>
        <v>3096.9314343676947</v>
      </c>
      <c r="L157" s="188">
        <f t="shared" si="43"/>
        <v>2.8207429698075475E-2</v>
      </c>
      <c r="M157" s="493">
        <f t="shared" si="44"/>
        <v>1313.3661341720922</v>
      </c>
      <c r="N157" s="188">
        <f t="shared" si="45"/>
        <v>2.0802255392328148</v>
      </c>
      <c r="O157" s="493">
        <f t="shared" si="46"/>
        <v>4158.3708529263968</v>
      </c>
      <c r="P157" s="496">
        <f t="shared" si="47"/>
        <v>20935.213961525496</v>
      </c>
      <c r="Q157" s="497">
        <f t="shared" si="48"/>
        <v>56865.256768798361</v>
      </c>
    </row>
    <row r="158" spans="1:17" x14ac:dyDescent="0.25">
      <c r="A158" s="107">
        <f t="shared" si="50"/>
        <v>15</v>
      </c>
      <c r="B158" s="175">
        <f t="shared" si="49"/>
        <v>2032</v>
      </c>
      <c r="C158" s="291">
        <f>Ridership!P$17</f>
        <v>1921887.2340483628</v>
      </c>
      <c r="D158" s="184">
        <f t="shared" si="36"/>
        <v>1563440.0118250567</v>
      </c>
      <c r="E158" s="186">
        <f t="shared" si="37"/>
        <v>709.0430892630643</v>
      </c>
      <c r="F158" s="470">
        <v>60</v>
      </c>
      <c r="G158" s="469">
        <f t="shared" si="38"/>
        <v>42542.585355783856</v>
      </c>
      <c r="H158" s="188">
        <f t="shared" si="39"/>
        <v>1.7969270364326899</v>
      </c>
      <c r="I158" s="493">
        <f t="shared" si="40"/>
        <v>14154.394265980298</v>
      </c>
      <c r="J158" s="188">
        <f t="shared" si="41"/>
        <v>9.8358111467894607E-3</v>
      </c>
      <c r="K158" s="493">
        <f t="shared" si="42"/>
        <v>3544.6591285134264</v>
      </c>
      <c r="L158" s="188">
        <f t="shared" si="43"/>
        <v>3.2285417126646253E-2</v>
      </c>
      <c r="M158" s="493">
        <f t="shared" si="44"/>
        <v>1503.2413068337762</v>
      </c>
      <c r="N158" s="188">
        <f t="shared" si="45"/>
        <v>2.3809666449763869</v>
      </c>
      <c r="O158" s="493">
        <f t="shared" si="46"/>
        <v>4759.5523233077975</v>
      </c>
      <c r="P158" s="496">
        <f t="shared" si="47"/>
        <v>23961.847024635299</v>
      </c>
      <c r="Q158" s="497">
        <f t="shared" si="48"/>
        <v>66504.432380419152</v>
      </c>
    </row>
    <row r="159" spans="1:17" x14ac:dyDescent="0.25">
      <c r="A159" s="107">
        <f t="shared" si="50"/>
        <v>16</v>
      </c>
      <c r="B159" s="175">
        <f t="shared" si="49"/>
        <v>2033</v>
      </c>
      <c r="C159" s="291">
        <f>Ridership!Q$17</f>
        <v>2157377.2000059052</v>
      </c>
      <c r="D159" s="184">
        <f t="shared" si="36"/>
        <v>1755009.2301635337</v>
      </c>
      <c r="E159" s="186">
        <f t="shared" si="37"/>
        <v>795.9225533621468</v>
      </c>
      <c r="F159" s="470">
        <v>61</v>
      </c>
      <c r="G159" s="469">
        <f t="shared" si="38"/>
        <v>48551.275755090952</v>
      </c>
      <c r="H159" s="188">
        <f t="shared" si="39"/>
        <v>2.0171055563484286</v>
      </c>
      <c r="I159" s="493">
        <f t="shared" si="40"/>
        <v>15888.740467356572</v>
      </c>
      <c r="J159" s="188">
        <f t="shared" si="41"/>
        <v>1.1040998834749294E-2</v>
      </c>
      <c r="K159" s="493">
        <f t="shared" si="42"/>
        <v>3978.9882830634547</v>
      </c>
      <c r="L159" s="188">
        <f t="shared" si="43"/>
        <v>3.6241368155086072E-2</v>
      </c>
      <c r="M159" s="493">
        <f t="shared" si="44"/>
        <v>1687.4343426689627</v>
      </c>
      <c r="N159" s="188">
        <f t="shared" si="45"/>
        <v>2.6727078794454138</v>
      </c>
      <c r="O159" s="493">
        <f t="shared" si="46"/>
        <v>5342.7430510113818</v>
      </c>
      <c r="P159" s="496">
        <f t="shared" si="47"/>
        <v>26897.906144100372</v>
      </c>
      <c r="Q159" s="497">
        <f t="shared" si="48"/>
        <v>75449.181899191317</v>
      </c>
    </row>
    <row r="160" spans="1:17" x14ac:dyDescent="0.25">
      <c r="A160" s="107">
        <f t="shared" si="50"/>
        <v>17</v>
      </c>
      <c r="B160" s="175">
        <f t="shared" si="49"/>
        <v>2034</v>
      </c>
      <c r="C160" s="291">
        <f>Ridership!R$17</f>
        <v>2385529.9822634477</v>
      </c>
      <c r="D160" s="184">
        <f t="shared" si="36"/>
        <v>1940609.7077936777</v>
      </c>
      <c r="E160" s="186">
        <f t="shared" si="37"/>
        <v>880.09510557536407</v>
      </c>
      <c r="F160" s="470">
        <v>62</v>
      </c>
      <c r="G160" s="469">
        <f t="shared" si="38"/>
        <v>54565.896545672571</v>
      </c>
      <c r="H160" s="188">
        <f t="shared" si="39"/>
        <v>2.2304239527729308</v>
      </c>
      <c r="I160" s="493">
        <f t="shared" si="40"/>
        <v>17569.049475992375</v>
      </c>
      <c r="J160" s="188">
        <f t="shared" si="41"/>
        <v>1.2208636373072885E-2</v>
      </c>
      <c r="K160" s="493">
        <f t="shared" si="42"/>
        <v>4399.7850020371252</v>
      </c>
      <c r="L160" s="188">
        <f t="shared" si="43"/>
        <v>4.0074063233804885E-2</v>
      </c>
      <c r="M160" s="493">
        <f t="shared" si="44"/>
        <v>1865.8884582291892</v>
      </c>
      <c r="N160" s="188">
        <f t="shared" si="45"/>
        <v>2.9553593039878896</v>
      </c>
      <c r="O160" s="493">
        <f t="shared" si="46"/>
        <v>5907.7632486717912</v>
      </c>
      <c r="P160" s="496">
        <f t="shared" si="47"/>
        <v>29742.486184930483</v>
      </c>
      <c r="Q160" s="497">
        <f t="shared" si="48"/>
        <v>84308.382730603058</v>
      </c>
    </row>
    <row r="161" spans="1:17" x14ac:dyDescent="0.25">
      <c r="A161" s="107">
        <f t="shared" si="50"/>
        <v>18</v>
      </c>
      <c r="B161" s="175">
        <f t="shared" si="49"/>
        <v>2035</v>
      </c>
      <c r="C161" s="291">
        <f>Ridership!S$17</f>
        <v>2606273.1380305956</v>
      </c>
      <c r="D161" s="184">
        <f t="shared" si="36"/>
        <v>2120182.5130804447</v>
      </c>
      <c r="E161" s="186">
        <f t="shared" si="37"/>
        <v>961.53401953761659</v>
      </c>
      <c r="F161" s="470">
        <v>63</v>
      </c>
      <c r="G161" s="469">
        <f t="shared" si="38"/>
        <v>60576.643230869842</v>
      </c>
      <c r="H161" s="188">
        <f t="shared" si="39"/>
        <v>2.4368144931117186</v>
      </c>
      <c r="I161" s="493">
        <f t="shared" si="40"/>
        <v>19194.787762241009</v>
      </c>
      <c r="J161" s="188">
        <f t="shared" si="41"/>
        <v>1.3338353014927303E-2</v>
      </c>
      <c r="K161" s="493">
        <f t="shared" si="42"/>
        <v>4806.9156745785467</v>
      </c>
      <c r="L161" s="188">
        <f t="shared" si="43"/>
        <v>4.3782285410182198E-2</v>
      </c>
      <c r="M161" s="493">
        <f t="shared" si="44"/>
        <v>2038.5469909834933</v>
      </c>
      <c r="N161" s="188">
        <f t="shared" si="45"/>
        <v>3.2288311714716511</v>
      </c>
      <c r="O161" s="493">
        <f t="shared" si="46"/>
        <v>6454.4335117718301</v>
      </c>
      <c r="P161" s="496">
        <f t="shared" si="47"/>
        <v>32494.683939574879</v>
      </c>
      <c r="Q161" s="497">
        <f t="shared" si="48"/>
        <v>93071.327170444711</v>
      </c>
    </row>
    <row r="162" spans="1:17" x14ac:dyDescent="0.25">
      <c r="A162" s="107">
        <f t="shared" si="50"/>
        <v>19</v>
      </c>
      <c r="B162" s="175">
        <f t="shared" si="49"/>
        <v>2036</v>
      </c>
      <c r="C162" s="291">
        <f>Ridership!T$17</f>
        <v>2889534.4176177988</v>
      </c>
      <c r="D162" s="184">
        <f t="shared" si="36"/>
        <v>2350613.3159192409</v>
      </c>
      <c r="E162" s="186">
        <f t="shared" si="37"/>
        <v>1066.0377849973881</v>
      </c>
      <c r="F162" s="470">
        <v>63</v>
      </c>
      <c r="G162" s="469">
        <f t="shared" si="38"/>
        <v>67160.380454835453</v>
      </c>
      <c r="H162" s="188">
        <f t="shared" si="39"/>
        <v>2.7016582584728015</v>
      </c>
      <c r="I162" s="493">
        <f t="shared" si="40"/>
        <v>21280.962101990259</v>
      </c>
      <c r="J162" s="188">
        <f t="shared" si="41"/>
        <v>1.4788024151640596E-2</v>
      </c>
      <c r="K162" s="493">
        <f t="shared" si="42"/>
        <v>5329.3525078406929</v>
      </c>
      <c r="L162" s="188">
        <f t="shared" si="43"/>
        <v>4.8540737625943312E-2</v>
      </c>
      <c r="M162" s="493">
        <f t="shared" si="44"/>
        <v>2260.1052846015464</v>
      </c>
      <c r="N162" s="188">
        <f t="shared" si="45"/>
        <v>3.5797548086976474</v>
      </c>
      <c r="O162" s="493">
        <f t="shared" si="46"/>
        <v>7155.9298625865968</v>
      </c>
      <c r="P162" s="496">
        <f t="shared" si="47"/>
        <v>36026.349757019096</v>
      </c>
      <c r="Q162" s="497">
        <f t="shared" si="48"/>
        <v>103186.73021185455</v>
      </c>
    </row>
    <row r="163" spans="1:17" x14ac:dyDescent="0.25">
      <c r="A163" s="107">
        <f t="shared" si="50"/>
        <v>20</v>
      </c>
      <c r="B163" s="175">
        <f t="shared" si="49"/>
        <v>2037</v>
      </c>
      <c r="C163" s="291">
        <f>Ridership!U$17</f>
        <v>3165241.804493784</v>
      </c>
      <c r="D163" s="184">
        <f t="shared" si="36"/>
        <v>2574899.0869889907</v>
      </c>
      <c r="E163" s="186">
        <f t="shared" si="37"/>
        <v>1167.7546879768665</v>
      </c>
      <c r="F163" s="470">
        <v>65</v>
      </c>
      <c r="G163" s="469">
        <f t="shared" si="38"/>
        <v>75904.054718496322</v>
      </c>
      <c r="H163" s="188">
        <f t="shared" si="39"/>
        <v>2.9594392816486899</v>
      </c>
      <c r="I163" s="493">
        <f t="shared" si="40"/>
        <v>23311.503221546729</v>
      </c>
      <c r="J163" s="188">
        <f t="shared" si="41"/>
        <v>1.6199036067971778E-2</v>
      </c>
      <c r="K163" s="493">
        <f t="shared" si="42"/>
        <v>5837.8572152838733</v>
      </c>
      <c r="L163" s="188">
        <f t="shared" si="43"/>
        <v>5.3172293438631973E-2</v>
      </c>
      <c r="M163" s="493">
        <f t="shared" si="44"/>
        <v>2475.7551547961434</v>
      </c>
      <c r="N163" s="188">
        <f t="shared" si="45"/>
        <v>3.9213201619065039</v>
      </c>
      <c r="O163" s="493">
        <f t="shared" si="46"/>
        <v>7838.719003651101</v>
      </c>
      <c r="P163" s="496">
        <f t="shared" si="47"/>
        <v>39463.834595277847</v>
      </c>
      <c r="Q163" s="497">
        <f t="shared" si="48"/>
        <v>115367.88931377417</v>
      </c>
    </row>
    <row r="164" spans="1:17" x14ac:dyDescent="0.25">
      <c r="A164" s="107">
        <f t="shared" si="50"/>
        <v>21</v>
      </c>
      <c r="B164" s="175">
        <f t="shared" si="49"/>
        <v>2038</v>
      </c>
      <c r="C164" s="291">
        <f>Ridership!V$17</f>
        <v>3433323.5569404056</v>
      </c>
      <c r="D164" s="184">
        <f t="shared" si="36"/>
        <v>2792981.4649713617</v>
      </c>
      <c r="E164" s="186">
        <f t="shared" si="37"/>
        <v>1266.6582607579871</v>
      </c>
      <c r="F164" s="470">
        <v>66</v>
      </c>
      <c r="G164" s="469">
        <f t="shared" si="38"/>
        <v>83599.445210027145</v>
      </c>
      <c r="H164" s="188">
        <f t="shared" si="39"/>
        <v>3.2100904855337706</v>
      </c>
      <c r="I164" s="493">
        <f t="shared" si="40"/>
        <v>25285.882754549511</v>
      </c>
      <c r="J164" s="188">
        <f t="shared" si="41"/>
        <v>1.7571021605026955E-2</v>
      </c>
      <c r="K164" s="493">
        <f t="shared" si="42"/>
        <v>6332.2974790844291</v>
      </c>
      <c r="L164" s="188">
        <f t="shared" si="43"/>
        <v>5.7675747672806719E-2</v>
      </c>
      <c r="M164" s="493">
        <f t="shared" si="44"/>
        <v>2685.4404873935537</v>
      </c>
      <c r="N164" s="188">
        <f t="shared" si="45"/>
        <v>4.2534383525027799</v>
      </c>
      <c r="O164" s="493">
        <f t="shared" si="46"/>
        <v>8502.6232666530577</v>
      </c>
      <c r="P164" s="496">
        <f t="shared" si="47"/>
        <v>42806.243987680551</v>
      </c>
      <c r="Q164" s="497">
        <f t="shared" si="48"/>
        <v>126405.6891977077</v>
      </c>
    </row>
    <row r="165" spans="1:17" x14ac:dyDescent="0.25">
      <c r="A165" s="107">
        <f t="shared" si="50"/>
        <v>22</v>
      </c>
      <c r="B165" s="175">
        <f t="shared" si="49"/>
        <v>2039</v>
      </c>
      <c r="C165" s="291">
        <f>Ridership!W$17</f>
        <v>3693708.2513539921</v>
      </c>
      <c r="D165" s="184">
        <f t="shared" si="36"/>
        <v>3004802.3473316203</v>
      </c>
      <c r="E165" s="186">
        <f t="shared" si="37"/>
        <v>1362.7221529848619</v>
      </c>
      <c r="F165" s="470">
        <v>67</v>
      </c>
      <c r="G165" s="469">
        <f t="shared" si="38"/>
        <v>91302.384249985742</v>
      </c>
      <c r="H165" s="188">
        <f t="shared" si="39"/>
        <v>3.4535450904532512</v>
      </c>
      <c r="I165" s="493">
        <f t="shared" si="40"/>
        <v>27203.574677500259</v>
      </c>
      <c r="J165" s="188">
        <f t="shared" si="41"/>
        <v>1.8903615231954635E-2</v>
      </c>
      <c r="K165" s="493">
        <f t="shared" si="42"/>
        <v>6812.5415681375071</v>
      </c>
      <c r="L165" s="188">
        <f t="shared" si="43"/>
        <v>6.2049900496970498E-2</v>
      </c>
      <c r="M165" s="493">
        <f t="shared" si="44"/>
        <v>2889.1054170394432</v>
      </c>
      <c r="N165" s="188">
        <f t="shared" si="45"/>
        <v>4.5760208959932154</v>
      </c>
      <c r="O165" s="493">
        <f t="shared" si="46"/>
        <v>9147.4657710904376</v>
      </c>
      <c r="P165" s="496">
        <f t="shared" si="47"/>
        <v>46052.687433767642</v>
      </c>
      <c r="Q165" s="497">
        <f t="shared" si="48"/>
        <v>137355.0716837534</v>
      </c>
    </row>
    <row r="166" spans="1:17" x14ac:dyDescent="0.25">
      <c r="A166" s="107">
        <f t="shared" si="50"/>
        <v>23</v>
      </c>
      <c r="B166" s="175">
        <f t="shared" si="49"/>
        <v>2040</v>
      </c>
      <c r="C166" s="291">
        <f>Ridership!X$17</f>
        <v>4016324.8272443321</v>
      </c>
      <c r="D166" s="184">
        <f t="shared" si="36"/>
        <v>3267248.3713693973</v>
      </c>
      <c r="E166" s="186">
        <f t="shared" si="37"/>
        <v>1481.7452931380487</v>
      </c>
      <c r="F166" s="470">
        <v>68</v>
      </c>
      <c r="G166" s="469">
        <f t="shared" si="38"/>
        <v>100758.67993338732</v>
      </c>
      <c r="H166" s="188">
        <f t="shared" si="39"/>
        <v>3.7551852893933009</v>
      </c>
      <c r="I166" s="493">
        <f t="shared" si="40"/>
        <v>29579.59452455103</v>
      </c>
      <c r="J166" s="188">
        <f t="shared" si="41"/>
        <v>2.0554698426152807E-2</v>
      </c>
      <c r="K166" s="493">
        <f t="shared" si="42"/>
        <v>7407.5638829122272</v>
      </c>
      <c r="L166" s="188">
        <f t="shared" si="43"/>
        <v>6.7469474829981474E-2</v>
      </c>
      <c r="M166" s="493">
        <f t="shared" si="44"/>
        <v>3141.4462175587673</v>
      </c>
      <c r="N166" s="188">
        <f t="shared" si="45"/>
        <v>4.9757005924410356</v>
      </c>
      <c r="O166" s="493">
        <f t="shared" si="46"/>
        <v>9946.4254842896298</v>
      </c>
      <c r="P166" s="496">
        <f t="shared" si="47"/>
        <v>50075.030109311658</v>
      </c>
      <c r="Q166" s="497">
        <f t="shared" si="48"/>
        <v>150833.71004269895</v>
      </c>
    </row>
    <row r="167" spans="1:17" x14ac:dyDescent="0.25">
      <c r="A167" s="107">
        <f t="shared" si="50"/>
        <v>24</v>
      </c>
      <c r="B167" s="175">
        <f t="shared" si="49"/>
        <v>2041</v>
      </c>
      <c r="C167" s="291">
        <f>Ridership!Y$17</f>
        <v>4331102.6339832256</v>
      </c>
      <c r="D167" s="184">
        <f t="shared" si="36"/>
        <v>3523317.6189149255</v>
      </c>
      <c r="E167" s="186">
        <f t="shared" si="37"/>
        <v>1597.8764711632316</v>
      </c>
      <c r="F167" s="470">
        <v>69</v>
      </c>
      <c r="G167" s="469">
        <f t="shared" si="38"/>
        <v>110253.47651026298</v>
      </c>
      <c r="H167" s="188">
        <f t="shared" si="39"/>
        <v>4.0494963922391349</v>
      </c>
      <c r="I167" s="493">
        <f t="shared" si="40"/>
        <v>31897.883081667667</v>
      </c>
      <c r="J167" s="188">
        <f t="shared" si="41"/>
        <v>2.216566446278263E-2</v>
      </c>
      <c r="K167" s="493">
        <f t="shared" si="42"/>
        <v>7988.1286560909921</v>
      </c>
      <c r="L167" s="188">
        <f t="shared" si="43"/>
        <v>7.275736717492863E-2</v>
      </c>
      <c r="M167" s="493">
        <f t="shared" si="44"/>
        <v>3387.6557730318518</v>
      </c>
      <c r="N167" s="188">
        <f t="shared" si="45"/>
        <v>5.3656690802619345</v>
      </c>
      <c r="O167" s="493">
        <f t="shared" si="46"/>
        <v>10725.972491443606</v>
      </c>
      <c r="P167" s="496">
        <f t="shared" si="47"/>
        <v>53999.640002234119</v>
      </c>
      <c r="Q167" s="497">
        <f t="shared" si="48"/>
        <v>164253.11651249707</v>
      </c>
    </row>
    <row r="168" spans="1:17" x14ac:dyDescent="0.25">
      <c r="A168" s="107">
        <f t="shared" si="50"/>
        <v>25</v>
      </c>
      <c r="B168" s="175">
        <f t="shared" si="49"/>
        <v>2042</v>
      </c>
      <c r="C168" s="291">
        <f>Ridership!Z$17</f>
        <v>4637971.4793563439</v>
      </c>
      <c r="D168" s="184">
        <f t="shared" si="36"/>
        <v>3772952.9891589303</v>
      </c>
      <c r="E168" s="186">
        <f t="shared" si="37"/>
        <v>1711.0897910017825</v>
      </c>
      <c r="F168" s="470">
        <v>71</v>
      </c>
      <c r="G168" s="469">
        <f t="shared" si="38"/>
        <v>121487.37516112656</v>
      </c>
      <c r="H168" s="188">
        <f t="shared" si="39"/>
        <v>4.3364127706409503</v>
      </c>
      <c r="I168" s="493">
        <f t="shared" si="40"/>
        <v>34157.923394338766</v>
      </c>
      <c r="J168" s="188">
        <f t="shared" si="41"/>
        <v>2.3736154112982039E-2</v>
      </c>
      <c r="K168" s="493">
        <f t="shared" si="42"/>
        <v>8554.1064276988054</v>
      </c>
      <c r="L168" s="188">
        <f t="shared" si="43"/>
        <v>7.7912398386189657E-2</v>
      </c>
      <c r="M168" s="493">
        <f t="shared" si="44"/>
        <v>3627.6791812593765</v>
      </c>
      <c r="N168" s="188">
        <f t="shared" si="45"/>
        <v>5.7458394004928159</v>
      </c>
      <c r="O168" s="493">
        <f t="shared" si="46"/>
        <v>11485.932961585138</v>
      </c>
      <c r="P168" s="496">
        <f t="shared" si="47"/>
        <v>57825.641964882081</v>
      </c>
      <c r="Q168" s="497">
        <f t="shared" si="48"/>
        <v>179313.01712600866</v>
      </c>
    </row>
    <row r="169" spans="1:17" x14ac:dyDescent="0.25">
      <c r="A169" s="107">
        <f t="shared" si="50"/>
        <v>26</v>
      </c>
      <c r="B169" s="175">
        <f t="shared" si="49"/>
        <v>2043</v>
      </c>
      <c r="C169" s="291">
        <f>Ridership!AA$17</f>
        <v>4936861.6799735501</v>
      </c>
      <c r="D169" s="184">
        <f t="shared" si="36"/>
        <v>4016097.7952165781</v>
      </c>
      <c r="E169" s="186">
        <f t="shared" si="37"/>
        <v>1821.3595443159084</v>
      </c>
      <c r="F169" s="470">
        <v>72</v>
      </c>
      <c r="G169" s="469">
        <f t="shared" si="38"/>
        <v>131137.88719074539</v>
      </c>
      <c r="H169" s="188">
        <f t="shared" si="39"/>
        <v>4.6158692719896308</v>
      </c>
      <c r="I169" s="493">
        <f t="shared" si="40"/>
        <v>36359.202255462325</v>
      </c>
      <c r="J169" s="188">
        <f t="shared" si="41"/>
        <v>2.5265810751943243E-2</v>
      </c>
      <c r="K169" s="493">
        <f t="shared" si="42"/>
        <v>9105.3686762175621</v>
      </c>
      <c r="L169" s="188">
        <f t="shared" si="43"/>
        <v>8.2933397865782771E-2</v>
      </c>
      <c r="M169" s="493">
        <f t="shared" si="44"/>
        <v>3861.4619380287118</v>
      </c>
      <c r="N169" s="188">
        <f t="shared" si="45"/>
        <v>6.1161252245371438</v>
      </c>
      <c r="O169" s="493">
        <f t="shared" si="46"/>
        <v>12226.13432384975</v>
      </c>
      <c r="P169" s="496">
        <f t="shared" si="47"/>
        <v>61552.167193558351</v>
      </c>
      <c r="Q169" s="497">
        <f t="shared" si="48"/>
        <v>192690.05438430374</v>
      </c>
    </row>
    <row r="170" spans="1:17" x14ac:dyDescent="0.25">
      <c r="A170" s="107">
        <f t="shared" si="50"/>
        <v>27</v>
      </c>
      <c r="B170" s="175">
        <f t="shared" si="49"/>
        <v>2044</v>
      </c>
      <c r="C170" s="291">
        <f>Ridership!AB$17</f>
        <v>5297704.113594274</v>
      </c>
      <c r="D170" s="184">
        <f t="shared" si="36"/>
        <v>4309640.2511381991</v>
      </c>
      <c r="E170" s="186">
        <f t="shared" si="37"/>
        <v>1954.48537466585</v>
      </c>
      <c r="F170" s="470">
        <v>73</v>
      </c>
      <c r="G170" s="469">
        <f t="shared" si="38"/>
        <v>142677.43235060707</v>
      </c>
      <c r="H170" s="188">
        <f t="shared" si="39"/>
        <v>4.9532499014969131</v>
      </c>
      <c r="I170" s="493">
        <f t="shared" si="40"/>
        <v>39016.749474091186</v>
      </c>
      <c r="J170" s="188">
        <f t="shared" si="41"/>
        <v>2.7112525776614688E-2</v>
      </c>
      <c r="K170" s="493">
        <f t="shared" si="42"/>
        <v>9770.8933769537307</v>
      </c>
      <c r="L170" s="188">
        <f t="shared" si="43"/>
        <v>8.8995121092852236E-2</v>
      </c>
      <c r="M170" s="493">
        <f t="shared" si="44"/>
        <v>4143.7018332042926</v>
      </c>
      <c r="N170" s="188">
        <f t="shared" si="45"/>
        <v>6.5631617536956632</v>
      </c>
      <c r="O170" s="493">
        <f t="shared" si="46"/>
        <v>13119.760345637631</v>
      </c>
      <c r="P170" s="496">
        <f t="shared" si="47"/>
        <v>66051.10502988685</v>
      </c>
      <c r="Q170" s="497">
        <f t="shared" si="48"/>
        <v>208728.53738049389</v>
      </c>
    </row>
    <row r="171" spans="1:17" x14ac:dyDescent="0.25">
      <c r="A171" s="107">
        <f t="shared" si="50"/>
        <v>28</v>
      </c>
      <c r="B171" s="175">
        <f t="shared" si="49"/>
        <v>2045</v>
      </c>
      <c r="C171" s="291">
        <f>Ridership!AC$17</f>
        <v>5650430.2734261984</v>
      </c>
      <c r="D171" s="184">
        <f t="shared" si="36"/>
        <v>4596580.1827475028</v>
      </c>
      <c r="E171" s="186">
        <f t="shared" si="37"/>
        <v>2084.6168629240374</v>
      </c>
      <c r="F171" s="470">
        <v>74</v>
      </c>
      <c r="G171" s="469">
        <f t="shared" si="38"/>
        <v>154261.64785637875</v>
      </c>
      <c r="H171" s="188">
        <f t="shared" si="39"/>
        <v>5.2830419734927005</v>
      </c>
      <c r="I171" s="493">
        <f t="shared" si="40"/>
        <v>41614.521625202004</v>
      </c>
      <c r="J171" s="188">
        <f t="shared" si="41"/>
        <v>2.8917703433854785E-2</v>
      </c>
      <c r="K171" s="493">
        <f t="shared" si="42"/>
        <v>10421.448716602888</v>
      </c>
      <c r="L171" s="188">
        <f t="shared" si="43"/>
        <v>9.4920500584377177E-2</v>
      </c>
      <c r="M171" s="493">
        <f t="shared" si="44"/>
        <v>4419.5934277091856</v>
      </c>
      <c r="N171" s="188">
        <f t="shared" si="45"/>
        <v>7.0001432823160297</v>
      </c>
      <c r="O171" s="493">
        <f t="shared" si="46"/>
        <v>13993.286421349743</v>
      </c>
      <c r="P171" s="496">
        <f t="shared" si="47"/>
        <v>70448.850190863814</v>
      </c>
      <c r="Q171" s="497">
        <f t="shared" si="48"/>
        <v>224710.49804724258</v>
      </c>
    </row>
    <row r="172" spans="1:17" x14ac:dyDescent="0.25">
      <c r="A172" s="107">
        <f t="shared" si="50"/>
        <v>29</v>
      </c>
      <c r="B172" s="175">
        <f t="shared" si="49"/>
        <v>2046</v>
      </c>
      <c r="C172" s="291">
        <f>Ridership!AD$17</f>
        <v>5994972.3244569767</v>
      </c>
      <c r="D172" s="184">
        <f t="shared" si="36"/>
        <v>4876862.4068003185</v>
      </c>
      <c r="E172" s="186">
        <f t="shared" si="37"/>
        <v>2211.7289826758815</v>
      </c>
      <c r="F172" s="470">
        <v>76</v>
      </c>
      <c r="G172" s="469">
        <f t="shared" si="38"/>
        <v>168091.40268336699</v>
      </c>
      <c r="H172" s="188">
        <f t="shared" si="39"/>
        <v>5.6051820635650191</v>
      </c>
      <c r="I172" s="493">
        <f t="shared" si="40"/>
        <v>44152.019114701652</v>
      </c>
      <c r="J172" s="188">
        <f t="shared" si="41"/>
        <v>3.0680996558461158E-2</v>
      </c>
      <c r="K172" s="493">
        <f t="shared" si="42"/>
        <v>11056.909582727907</v>
      </c>
      <c r="L172" s="188">
        <f t="shared" si="43"/>
        <v>0.10070839679292184</v>
      </c>
      <c r="M172" s="493">
        <f t="shared" si="44"/>
        <v>4689.0836630752337</v>
      </c>
      <c r="N172" s="188">
        <f t="shared" si="45"/>
        <v>7.4269857716997718</v>
      </c>
      <c r="O172" s="493">
        <f t="shared" si="46"/>
        <v>14846.544557627843</v>
      </c>
      <c r="P172" s="496">
        <f t="shared" si="47"/>
        <v>74744.556918132643</v>
      </c>
      <c r="Q172" s="497">
        <f t="shared" si="48"/>
        <v>242835.95960149964</v>
      </c>
    </row>
    <row r="173" spans="1:17" x14ac:dyDescent="0.25">
      <c r="A173" s="107">
        <f t="shared" si="50"/>
        <v>30</v>
      </c>
      <c r="B173" s="175">
        <f t="shared" si="49"/>
        <v>2047</v>
      </c>
      <c r="C173" s="291">
        <f>Ridership!AE$17</f>
        <v>6401263.1618804634</v>
      </c>
      <c r="D173" s="184">
        <f t="shared" si="36"/>
        <v>5207376.7785138693</v>
      </c>
      <c r="E173" s="186">
        <f t="shared" si="37"/>
        <v>2361.6221217749976</v>
      </c>
      <c r="F173" s="471">
        <v>77</v>
      </c>
      <c r="G173" s="469">
        <f t="shared" si="38"/>
        <v>181844.9033766748</v>
      </c>
      <c r="H173" s="188">
        <f t="shared" si="39"/>
        <v>5.9850560631873977</v>
      </c>
      <c r="I173" s="493">
        <f t="shared" si="40"/>
        <v>47144.286609727133</v>
      </c>
      <c r="J173" s="188">
        <f t="shared" si="41"/>
        <v>3.2760306872183648E-2</v>
      </c>
      <c r="K173" s="493">
        <f t="shared" si="42"/>
        <v>11806.25767151816</v>
      </c>
      <c r="L173" s="188">
        <f t="shared" si="43"/>
        <v>0.10753359908812665</v>
      </c>
      <c r="M173" s="493">
        <f t="shared" si="44"/>
        <v>5006.8719071422647</v>
      </c>
      <c r="N173" s="188">
        <f t="shared" si="45"/>
        <v>7.930326922484741</v>
      </c>
      <c r="O173" s="493">
        <f t="shared" si="46"/>
        <v>15852.723518046998</v>
      </c>
      <c r="P173" s="496">
        <f t="shared" si="47"/>
        <v>79810.139706434566</v>
      </c>
      <c r="Q173" s="497">
        <f t="shared" si="48"/>
        <v>261655.04308310934</v>
      </c>
    </row>
    <row r="174" spans="1:17" x14ac:dyDescent="0.25">
      <c r="A174" s="107">
        <f t="shared" si="50"/>
        <v>31</v>
      </c>
      <c r="B174" s="175">
        <f t="shared" si="49"/>
        <v>2048</v>
      </c>
      <c r="C174" s="291">
        <f>Ridership!AF$17</f>
        <v>6799236.4716806412</v>
      </c>
      <c r="D174" s="184">
        <f t="shared" si="36"/>
        <v>5531124.9075179817</v>
      </c>
      <c r="E174" s="186">
        <f t="shared" si="37"/>
        <v>2508.4466700761823</v>
      </c>
      <c r="F174" s="471">
        <v>78</v>
      </c>
      <c r="G174" s="469">
        <f t="shared" si="38"/>
        <v>195658.84026594221</v>
      </c>
      <c r="H174" s="188">
        <f t="shared" si="39"/>
        <v>6.3571533368927629</v>
      </c>
      <c r="I174" s="493">
        <f t="shared" si="40"/>
        <v>50075.296834704292</v>
      </c>
      <c r="J174" s="188">
        <f t="shared" si="41"/>
        <v>3.4797049844044602E-2</v>
      </c>
      <c r="K174" s="493">
        <f t="shared" si="42"/>
        <v>12540.265213946326</v>
      </c>
      <c r="L174" s="188">
        <f t="shared" si="43"/>
        <v>0.11421907682300161</v>
      </c>
      <c r="M174" s="493">
        <f t="shared" si="44"/>
        <v>5318.1544359557784</v>
      </c>
      <c r="N174" s="188">
        <f t="shared" si="45"/>
        <v>8.4233637455813213</v>
      </c>
      <c r="O174" s="493">
        <f t="shared" si="46"/>
        <v>16838.304127417061</v>
      </c>
      <c r="P174" s="496">
        <f t="shared" si="47"/>
        <v>84772.020612023451</v>
      </c>
      <c r="Q174" s="497">
        <f t="shared" si="48"/>
        <v>280430.86087796564</v>
      </c>
    </row>
    <row r="175" spans="1:17" x14ac:dyDescent="0.25">
      <c r="A175" s="107">
        <f t="shared" si="50"/>
        <v>32</v>
      </c>
      <c r="B175" s="175">
        <f t="shared" si="49"/>
        <v>2049</v>
      </c>
      <c r="C175" s="291">
        <f>Ridership!AG$17</f>
        <v>7188826.7934380537</v>
      </c>
      <c r="D175" s="184">
        <f t="shared" si="36"/>
        <v>5848053.5422809562</v>
      </c>
      <c r="E175" s="186">
        <f t="shared" si="37"/>
        <v>2652.1784772249234</v>
      </c>
      <c r="F175" s="471">
        <v>79</v>
      </c>
      <c r="G175" s="469">
        <f t="shared" si="38"/>
        <v>209522.09970076894</v>
      </c>
      <c r="H175" s="188">
        <f t="shared" si="39"/>
        <v>6.7214126804671261</v>
      </c>
      <c r="I175" s="493">
        <f t="shared" si="40"/>
        <v>52944.567684039554</v>
      </c>
      <c r="J175" s="188">
        <f t="shared" si="41"/>
        <v>3.6790890461504272E-2</v>
      </c>
      <c r="K175" s="493">
        <f t="shared" si="42"/>
        <v>13258.811477188294</v>
      </c>
      <c r="L175" s="188">
        <f t="shared" si="43"/>
        <v>0.12076373034044408</v>
      </c>
      <c r="M175" s="493">
        <f t="shared" si="44"/>
        <v>5622.8800483814166</v>
      </c>
      <c r="N175" s="188">
        <f t="shared" si="45"/>
        <v>8.9060151441007172</v>
      </c>
      <c r="O175" s="493">
        <f t="shared" si="46"/>
        <v>17803.124273057332</v>
      </c>
      <c r="P175" s="496">
        <f t="shared" si="47"/>
        <v>89629.383482666584</v>
      </c>
      <c r="Q175" s="497">
        <f t="shared" si="48"/>
        <v>299151.48318343551</v>
      </c>
    </row>
    <row r="176" spans="1:17" x14ac:dyDescent="0.25">
      <c r="A176" s="107">
        <f t="shared" si="50"/>
        <v>33</v>
      </c>
      <c r="B176" s="175">
        <f t="shared" si="49"/>
        <v>2050</v>
      </c>
      <c r="C176" s="291">
        <f>Ridership!AH$17</f>
        <v>7569969.5854252428</v>
      </c>
      <c r="D176" s="184">
        <f t="shared" si="36"/>
        <v>6158110.1786197405</v>
      </c>
      <c r="E176" s="186">
        <f t="shared" si="37"/>
        <v>2792.793731800336</v>
      </c>
      <c r="F176" s="471">
        <v>80</v>
      </c>
      <c r="G176" s="469">
        <f t="shared" si="38"/>
        <v>223423.49854402686</v>
      </c>
      <c r="H176" s="188">
        <f t="shared" si="39"/>
        <v>7.0777737486555763</v>
      </c>
      <c r="I176" s="493">
        <f t="shared" si="40"/>
        <v>55751.623818159977</v>
      </c>
      <c r="J176" s="188">
        <f t="shared" si="41"/>
        <v>3.8741498413693683E-2</v>
      </c>
      <c r="K176" s="493">
        <f t="shared" si="42"/>
        <v>13961.77742282217</v>
      </c>
      <c r="L176" s="188">
        <f t="shared" si="43"/>
        <v>0.12716647541628306</v>
      </c>
      <c r="M176" s="493">
        <f t="shared" si="44"/>
        <v>5920.9982618575559</v>
      </c>
      <c r="N176" s="188">
        <f t="shared" si="45"/>
        <v>9.3782011592932371</v>
      </c>
      <c r="O176" s="493">
        <f t="shared" si="46"/>
        <v>18747.02411742718</v>
      </c>
      <c r="P176" s="496">
        <f t="shared" si="47"/>
        <v>94381.423620266884</v>
      </c>
      <c r="Q176" s="497">
        <f t="shared" si="48"/>
        <v>317804.92216429376</v>
      </c>
    </row>
    <row r="177" spans="1:25" x14ac:dyDescent="0.25">
      <c r="A177" s="107">
        <f t="shared" si="50"/>
        <v>34</v>
      </c>
      <c r="B177" s="175">
        <f t="shared" si="49"/>
        <v>2051</v>
      </c>
      <c r="C177" s="291">
        <f>Ridership!AI$17</f>
        <v>8012601.2920600027</v>
      </c>
      <c r="D177" s="184">
        <f t="shared" si="36"/>
        <v>6518187.5590170659</v>
      </c>
      <c r="E177" s="186">
        <f t="shared" si="37"/>
        <v>2956.0941310734993</v>
      </c>
      <c r="F177" s="471">
        <v>82</v>
      </c>
      <c r="G177" s="469">
        <f t="shared" si="38"/>
        <v>242399.71874802693</v>
      </c>
      <c r="H177" s="188">
        <f t="shared" si="39"/>
        <v>7.4916257513867253</v>
      </c>
      <c r="I177" s="493">
        <f t="shared" si="40"/>
        <v>59011.536043673237</v>
      </c>
      <c r="J177" s="188">
        <f t="shared" si="41"/>
        <v>4.1006793586537867E-2</v>
      </c>
      <c r="K177" s="493">
        <f t="shared" si="42"/>
        <v>14778.151293097277</v>
      </c>
      <c r="L177" s="188">
        <f t="shared" si="43"/>
        <v>0.1346021610428951</v>
      </c>
      <c r="M177" s="493">
        <f t="shared" si="44"/>
        <v>6267.2112203182387</v>
      </c>
      <c r="N177" s="188">
        <f t="shared" si="45"/>
        <v>9.9265638888204872</v>
      </c>
      <c r="O177" s="493">
        <f t="shared" si="46"/>
        <v>19843.201213752152</v>
      </c>
      <c r="P177" s="496">
        <f t="shared" si="47"/>
        <v>99900.099770840898</v>
      </c>
      <c r="Q177" s="497">
        <f t="shared" si="48"/>
        <v>342299.81851886783</v>
      </c>
    </row>
    <row r="178" spans="1:25" x14ac:dyDescent="0.25">
      <c r="A178" s="107">
        <f t="shared" si="50"/>
        <v>35</v>
      </c>
      <c r="B178" s="175">
        <f t="shared" si="49"/>
        <v>2052</v>
      </c>
      <c r="C178" s="291">
        <f>Ridership!AJ$17</f>
        <v>8446659.4137862585</v>
      </c>
      <c r="D178" s="184">
        <f t="shared" si="36"/>
        <v>6871290.3961356468</v>
      </c>
      <c r="E178" s="186">
        <f t="shared" si="37"/>
        <v>3116.2314721703615</v>
      </c>
      <c r="F178" s="471">
        <v>83</v>
      </c>
      <c r="G178" s="469">
        <f t="shared" si="38"/>
        <v>258647.21219014001</v>
      </c>
      <c r="H178" s="188">
        <f t="shared" si="39"/>
        <v>7.8974616196390635</v>
      </c>
      <c r="I178" s="493">
        <f t="shared" si="40"/>
        <v>62208.305177896902</v>
      </c>
      <c r="J178" s="188">
        <f t="shared" si="41"/>
        <v>4.322821097065592E-2</v>
      </c>
      <c r="K178" s="493">
        <f t="shared" si="42"/>
        <v>15578.712354237892</v>
      </c>
      <c r="L178" s="188">
        <f t="shared" si="43"/>
        <v>0.14189382065167527</v>
      </c>
      <c r="M178" s="493">
        <f t="shared" si="44"/>
        <v>6606.7181833626528</v>
      </c>
      <c r="N178" s="188">
        <f t="shared" si="45"/>
        <v>10.464305069209278</v>
      </c>
      <c r="O178" s="493">
        <f t="shared" si="46"/>
        <v>20918.145833349347</v>
      </c>
      <c r="P178" s="496">
        <f t="shared" si="47"/>
        <v>105311.8815488468</v>
      </c>
      <c r="Q178" s="497">
        <f t="shared" si="48"/>
        <v>363959.09373898676</v>
      </c>
    </row>
    <row r="179" spans="1:25" x14ac:dyDescent="0.25">
      <c r="A179" s="107">
        <f t="shared" si="50"/>
        <v>36</v>
      </c>
      <c r="B179" s="175">
        <f t="shared" si="49"/>
        <v>2053</v>
      </c>
      <c r="C179" s="291">
        <f>Ridership!AK$17</f>
        <v>8872082.5794552043</v>
      </c>
      <c r="D179" s="184">
        <f t="shared" si="36"/>
        <v>7217368.7650330029</v>
      </c>
      <c r="E179" s="186">
        <f t="shared" si="37"/>
        <v>3273.1831133936521</v>
      </c>
      <c r="F179" s="471">
        <v>84</v>
      </c>
      <c r="G179" s="469">
        <f t="shared" si="38"/>
        <v>274947.3815250668</v>
      </c>
      <c r="H179" s="188">
        <f t="shared" si="39"/>
        <v>8.2952239725868075</v>
      </c>
      <c r="I179" s="493">
        <f t="shared" si="40"/>
        <v>65341.479232066282</v>
      </c>
      <c r="J179" s="188">
        <f t="shared" si="41"/>
        <v>4.5405436481527797E-2</v>
      </c>
      <c r="K179" s="493">
        <f t="shared" si="42"/>
        <v>16363.347415522432</v>
      </c>
      <c r="L179" s="188">
        <f t="shared" si="43"/>
        <v>0.14904042328039882</v>
      </c>
      <c r="M179" s="493">
        <f t="shared" si="44"/>
        <v>6939.4711483586498</v>
      </c>
      <c r="N179" s="188">
        <f t="shared" si="45"/>
        <v>10.991348669641734</v>
      </c>
      <c r="O179" s="493">
        <f t="shared" si="46"/>
        <v>21971.705990613827</v>
      </c>
      <c r="P179" s="496">
        <f t="shared" si="47"/>
        <v>110616.0037865612</v>
      </c>
      <c r="Q179" s="497">
        <f t="shared" si="48"/>
        <v>385563.38531162805</v>
      </c>
    </row>
    <row r="180" spans="1:25" x14ac:dyDescent="0.25">
      <c r="A180" s="107">
        <f t="shared" si="50"/>
        <v>37</v>
      </c>
      <c r="B180" s="175">
        <f t="shared" si="49"/>
        <v>2054</v>
      </c>
      <c r="C180" s="291">
        <f>Ridership!AL$17</f>
        <v>9358810.6212807707</v>
      </c>
      <c r="D180" s="184">
        <f t="shared" si="36"/>
        <v>7613318.1641371343</v>
      </c>
      <c r="E180" s="186">
        <f t="shared" si="37"/>
        <v>3452.7520018762516</v>
      </c>
      <c r="F180" s="471">
        <v>85</v>
      </c>
      <c r="G180" s="469">
        <f t="shared" si="38"/>
        <v>293483.92015948141</v>
      </c>
      <c r="H180" s="188">
        <f t="shared" si="39"/>
        <v>8.7503051876818105</v>
      </c>
      <c r="I180" s="493">
        <f t="shared" si="40"/>
        <v>68926.153963369623</v>
      </c>
      <c r="J180" s="188">
        <f t="shared" si="41"/>
        <v>4.7896407343100432E-2</v>
      </c>
      <c r="K180" s="493">
        <f t="shared" si="42"/>
        <v>17261.050967528561</v>
      </c>
      <c r="L180" s="188">
        <f t="shared" si="43"/>
        <v>0.15721687483238342</v>
      </c>
      <c r="M180" s="493">
        <f t="shared" si="44"/>
        <v>7320.1749090706044</v>
      </c>
      <c r="N180" s="188">
        <f t="shared" si="45"/>
        <v>11.5943409848153</v>
      </c>
      <c r="O180" s="493">
        <f t="shared" si="46"/>
        <v>23177.087628645786</v>
      </c>
      <c r="P180" s="496">
        <f t="shared" si="47"/>
        <v>116684.46746861457</v>
      </c>
      <c r="Q180" s="497">
        <f t="shared" si="48"/>
        <v>410168.38762809592</v>
      </c>
    </row>
    <row r="181" spans="1:25" x14ac:dyDescent="0.25">
      <c r="A181" s="107">
        <f t="shared" si="50"/>
        <v>38</v>
      </c>
      <c r="B181" s="175">
        <f t="shared" si="49"/>
        <v>2055</v>
      </c>
      <c r="C181" s="291">
        <f>Ridership!AM$17</f>
        <v>9836784.6524454784</v>
      </c>
      <c r="D181" s="184">
        <f t="shared" si="36"/>
        <v>8002146.2450449318</v>
      </c>
      <c r="E181" s="186">
        <f t="shared" si="37"/>
        <v>3629.0912675940735</v>
      </c>
      <c r="F181" s="471">
        <v>86</v>
      </c>
      <c r="G181" s="469">
        <f t="shared" si="38"/>
        <v>312101.84901309031</v>
      </c>
      <c r="H181" s="188">
        <f t="shared" si="39"/>
        <v>9.1972015737426016</v>
      </c>
      <c r="I181" s="493">
        <f t="shared" si="40"/>
        <v>72446.35679637047</v>
      </c>
      <c r="J181" s="188">
        <f t="shared" si="41"/>
        <v>5.0342577035222665E-2</v>
      </c>
      <c r="K181" s="493">
        <f t="shared" si="42"/>
        <v>18142.608939684651</v>
      </c>
      <c r="L181" s="188">
        <f t="shared" si="43"/>
        <v>0.16524626942873094</v>
      </c>
      <c r="M181" s="493">
        <f t="shared" si="44"/>
        <v>7694.031550871141</v>
      </c>
      <c r="N181" s="188">
        <f t="shared" si="45"/>
        <v>12.186488226966883</v>
      </c>
      <c r="O181" s="493">
        <f t="shared" si="46"/>
        <v>24360.789965706801</v>
      </c>
      <c r="P181" s="496">
        <f t="shared" si="47"/>
        <v>122643.78725263306</v>
      </c>
      <c r="Q181" s="497">
        <f t="shared" si="48"/>
        <v>434745.63626572338</v>
      </c>
    </row>
    <row r="182" spans="1:25" x14ac:dyDescent="0.25">
      <c r="A182" s="107">
        <f t="shared" si="50"/>
        <v>39</v>
      </c>
      <c r="B182" s="175">
        <f t="shared" si="49"/>
        <v>2056</v>
      </c>
      <c r="C182" s="291">
        <f>Ridership!AN$17</f>
        <v>10375947.147435106</v>
      </c>
      <c r="D182" s="184">
        <f t="shared" si="36"/>
        <v>8440750.655651575</v>
      </c>
      <c r="E182" s="186">
        <f t="shared" si="37"/>
        <v>3828.0048324950453</v>
      </c>
      <c r="F182" s="472">
        <v>87</v>
      </c>
      <c r="G182" s="469">
        <f t="shared" si="38"/>
        <v>333036.42042706895</v>
      </c>
      <c r="H182" s="188">
        <f t="shared" si="39"/>
        <v>9.7013079786936167</v>
      </c>
      <c r="I182" s="493">
        <f t="shared" si="40"/>
        <v>76417.202948169623</v>
      </c>
      <c r="J182" s="188">
        <f t="shared" si="41"/>
        <v>5.3101896304428214E-2</v>
      </c>
      <c r="K182" s="493">
        <f t="shared" si="42"/>
        <v>19137.020695878753</v>
      </c>
      <c r="L182" s="188">
        <f t="shared" si="43"/>
        <v>0.17430355735977998</v>
      </c>
      <c r="M182" s="493">
        <f t="shared" si="44"/>
        <v>8115.7479342287161</v>
      </c>
      <c r="N182" s="188">
        <f t="shared" si="45"/>
        <v>12.854439964222792</v>
      </c>
      <c r="O182" s="493">
        <f t="shared" si="46"/>
        <v>25696.025488481362</v>
      </c>
      <c r="P182" s="496">
        <f t="shared" si="47"/>
        <v>129365.99706675846</v>
      </c>
      <c r="Q182" s="497">
        <f t="shared" si="48"/>
        <v>462402.41749382741</v>
      </c>
    </row>
    <row r="183" spans="1:25" x14ac:dyDescent="0.25">
      <c r="A183" s="62">
        <f t="shared" si="50"/>
        <v>40</v>
      </c>
      <c r="B183" s="235">
        <f t="shared" si="49"/>
        <v>2057</v>
      </c>
      <c r="C183" s="492">
        <f>Ridership!AO$17</f>
        <v>10601402.037531247</v>
      </c>
      <c r="D183" s="352">
        <f t="shared" si="36"/>
        <v>8624156.4194202609</v>
      </c>
      <c r="E183" s="446">
        <f t="shared" si="37"/>
        <v>3911.182049623701</v>
      </c>
      <c r="F183" s="473">
        <v>88</v>
      </c>
      <c r="G183" s="474">
        <f t="shared" si="38"/>
        <v>344184.0203668857</v>
      </c>
      <c r="H183" s="353">
        <f t="shared" si="39"/>
        <v>9.912103898627139</v>
      </c>
      <c r="I183" s="494">
        <f t="shared" si="40"/>
        <v>78077.642409485969</v>
      </c>
      <c r="J183" s="353">
        <f t="shared" si="41"/>
        <v>5.42557266030117E-2</v>
      </c>
      <c r="K183" s="494">
        <f t="shared" si="42"/>
        <v>19552.841520373164</v>
      </c>
      <c r="L183" s="353">
        <f t="shared" si="43"/>
        <v>0.17809093106258744</v>
      </c>
      <c r="M183" s="494">
        <f t="shared" si="44"/>
        <v>8292.0918412051342</v>
      </c>
      <c r="N183" s="353">
        <f t="shared" si="45"/>
        <v>13.133749053619772</v>
      </c>
      <c r="O183" s="494">
        <f t="shared" si="46"/>
        <v>26254.364358185925</v>
      </c>
      <c r="P183" s="498">
        <f t="shared" si="47"/>
        <v>132176.9401292502</v>
      </c>
      <c r="Q183" s="499">
        <f t="shared" si="48"/>
        <v>476360.96049613593</v>
      </c>
    </row>
    <row r="184" spans="1:25" x14ac:dyDescent="0.25">
      <c r="A184" s="284"/>
      <c r="B184" s="283" t="s">
        <v>3</v>
      </c>
      <c r="C184" s="292"/>
      <c r="D184" s="285"/>
      <c r="E184" s="286"/>
      <c r="F184" s="475"/>
      <c r="G184" s="476">
        <f>SUM(G144:G183)</f>
        <v>4495972.0062841624</v>
      </c>
      <c r="H184" s="287"/>
      <c r="I184" s="495">
        <f>SUM(I144:I183)</f>
        <v>1172015.5679709485</v>
      </c>
      <c r="J184" s="287"/>
      <c r="K184" s="495">
        <f>SUM(K144:K183)</f>
        <v>293505.72011075373</v>
      </c>
      <c r="L184" s="287"/>
      <c r="M184" s="495">
        <f>SUM(M144:M183)</f>
        <v>124471.74926168834</v>
      </c>
      <c r="N184" s="287"/>
      <c r="O184" s="495">
        <f>SUM(O144:O183)</f>
        <v>394101.59945143352</v>
      </c>
      <c r="P184" s="500">
        <f t="shared" si="47"/>
        <v>1984094.6367948242</v>
      </c>
      <c r="Q184" s="501">
        <f>SUM(Q144:Q183)</f>
        <v>6480066.6430789866</v>
      </c>
    </row>
    <row r="185" spans="1:25" x14ac:dyDescent="0.25">
      <c r="A185" s="107"/>
      <c r="B185" s="175"/>
      <c r="C185" s="176"/>
      <c r="D185" s="184"/>
      <c r="E185" s="186"/>
      <c r="F185" s="72"/>
      <c r="G185" s="187"/>
      <c r="J185" s="187"/>
      <c r="K185" s="187"/>
      <c r="L185" s="187"/>
      <c r="M185" s="187"/>
      <c r="N185" s="188"/>
      <c r="O185" s="189"/>
      <c r="P185" s="188"/>
      <c r="Q185" s="189"/>
      <c r="R185" s="188"/>
      <c r="S185" s="189"/>
      <c r="T185" s="188"/>
      <c r="U185" s="189"/>
      <c r="V185" s="189"/>
      <c r="W185" s="187"/>
    </row>
    <row r="186" spans="1:25" x14ac:dyDescent="0.25">
      <c r="A186" s="23"/>
      <c r="B186" s="174"/>
      <c r="G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288"/>
      <c r="X186" s="69"/>
      <c r="Y186" s="69"/>
    </row>
    <row r="187" spans="1:25" ht="49.5" x14ac:dyDescent="0.35">
      <c r="A187" s="190"/>
      <c r="B187" s="191" t="s">
        <v>217</v>
      </c>
      <c r="C187" s="191" t="s">
        <v>218</v>
      </c>
      <c r="D187" s="191" t="s">
        <v>219</v>
      </c>
      <c r="E187" s="191" t="s">
        <v>275</v>
      </c>
      <c r="F187" s="191" t="s">
        <v>274</v>
      </c>
      <c r="G187" s="72"/>
      <c r="J187" s="72"/>
      <c r="K187" s="72"/>
      <c r="L187" s="72"/>
      <c r="M187" s="72"/>
      <c r="N187" s="69"/>
      <c r="O187" s="72"/>
      <c r="P187" s="69"/>
      <c r="Q187" s="72"/>
      <c r="R187" s="69"/>
      <c r="S187" s="72"/>
      <c r="T187" s="69"/>
      <c r="U187" s="72"/>
      <c r="V187" s="72"/>
      <c r="W187" s="289"/>
      <c r="X187" s="69"/>
      <c r="Y187" s="69"/>
    </row>
    <row r="188" spans="1:25" x14ac:dyDescent="0.25">
      <c r="A188" s="192" t="s">
        <v>220</v>
      </c>
      <c r="B188" s="193">
        <v>25883627040</v>
      </c>
      <c r="C188" s="193">
        <v>35915</v>
      </c>
      <c r="D188" s="194">
        <f>(C188*2000*453.59237)/B188</f>
        <v>1.2587702599310828</v>
      </c>
      <c r="E188" s="190">
        <v>487</v>
      </c>
      <c r="F188" s="194">
        <f>(E188*2000*453.59237)/B188</f>
        <v>1.7068665365068559E-2</v>
      </c>
      <c r="G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5" x14ac:dyDescent="0.25"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72"/>
      <c r="V189" s="72"/>
      <c r="W189" s="69"/>
      <c r="X189" s="69"/>
      <c r="Y189" s="69"/>
    </row>
    <row r="190" spans="1:25" x14ac:dyDescent="0.25">
      <c r="A190" t="s">
        <v>221</v>
      </c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5" x14ac:dyDescent="0.25">
      <c r="A191" t="s">
        <v>222</v>
      </c>
      <c r="Q191" s="68"/>
    </row>
    <row r="192" spans="1:25" x14ac:dyDescent="0.25">
      <c r="A192" t="s">
        <v>223</v>
      </c>
      <c r="Q192" s="195"/>
    </row>
    <row r="193" spans="1:17" x14ac:dyDescent="0.25">
      <c r="A193" t="s">
        <v>224</v>
      </c>
      <c r="Q193" s="195"/>
    </row>
    <row r="194" spans="1:17" x14ac:dyDescent="0.25">
      <c r="A194" t="s">
        <v>225</v>
      </c>
      <c r="Q194" s="195"/>
    </row>
    <row r="195" spans="1:17" x14ac:dyDescent="0.25">
      <c r="A195" t="s">
        <v>226</v>
      </c>
      <c r="Q195" s="68"/>
    </row>
    <row r="196" spans="1:17" x14ac:dyDescent="0.25">
      <c r="Q196" s="68"/>
    </row>
  </sheetData>
  <pageMargins left="0.7" right="0.7" top="0.75" bottom="0.75" header="0.3" footer="0.3"/>
  <pageSetup paperSize="17" scale="68" fitToHeight="0" orientation="landscape" r:id="rId1"/>
  <headerFooter>
    <oddFooter>&amp;L&amp;A</oddFooter>
  </headerFooter>
  <rowBreaks count="1" manualBreakCount="1">
    <brk id="13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selection activeCell="H3" sqref="H3"/>
    </sheetView>
  </sheetViews>
  <sheetFormatPr defaultRowHeight="15" x14ac:dyDescent="0.25"/>
  <cols>
    <col min="1" max="1" width="20" customWidth="1"/>
    <col min="2" max="2" width="20.5703125" customWidth="1"/>
    <col min="3" max="3" width="18" customWidth="1"/>
    <col min="4" max="4" width="16.140625" customWidth="1"/>
    <col min="5" max="5" width="15.85546875" customWidth="1"/>
    <col min="7" max="7" width="26.85546875" style="15" customWidth="1"/>
    <col min="8" max="8" width="16.5703125" customWidth="1"/>
    <col min="13" max="13" width="15.28515625" bestFit="1" customWidth="1"/>
  </cols>
  <sheetData>
    <row r="1" spans="1:17" x14ac:dyDescent="0.25">
      <c r="A1" s="212" t="s">
        <v>251</v>
      </c>
      <c r="B1" s="209"/>
      <c r="C1" s="209"/>
      <c r="D1" s="209" t="s">
        <v>311</v>
      </c>
      <c r="E1" s="209"/>
      <c r="F1" s="209"/>
      <c r="G1" s="559" t="s">
        <v>312</v>
      </c>
      <c r="H1" s="213"/>
    </row>
    <row r="2" spans="1:17" x14ac:dyDescent="0.25">
      <c r="A2" s="261"/>
      <c r="B2" s="209"/>
      <c r="C2" s="209"/>
      <c r="D2" s="209"/>
      <c r="E2" s="209"/>
      <c r="F2" s="209"/>
      <c r="G2" s="559"/>
      <c r="H2" s="213"/>
    </row>
    <row r="3" spans="1:17" x14ac:dyDescent="0.25">
      <c r="A3" s="201" t="s">
        <v>239</v>
      </c>
      <c r="B3" s="201" t="s">
        <v>240</v>
      </c>
      <c r="C3" s="201" t="s">
        <v>241</v>
      </c>
      <c r="D3" s="201" t="s">
        <v>242</v>
      </c>
      <c r="E3" s="201" t="s">
        <v>243</v>
      </c>
      <c r="F3" s="209"/>
      <c r="G3" s="560" t="s">
        <v>316</v>
      </c>
      <c r="H3" s="355">
        <v>30778571634</v>
      </c>
      <c r="I3" s="214" t="s">
        <v>399</v>
      </c>
    </row>
    <row r="4" spans="1:17" s="6" customFormat="1" x14ac:dyDescent="0.25">
      <c r="A4" s="357" t="s">
        <v>313</v>
      </c>
      <c r="B4" s="293"/>
      <c r="C4" s="354">
        <v>0</v>
      </c>
      <c r="D4" s="354">
        <v>0</v>
      </c>
      <c r="E4" s="354">
        <v>0</v>
      </c>
      <c r="F4" s="261"/>
      <c r="G4" s="247"/>
      <c r="I4" s="356" t="s">
        <v>402</v>
      </c>
    </row>
    <row r="5" spans="1:17" x14ac:dyDescent="0.25">
      <c r="A5" s="202" t="s">
        <v>244</v>
      </c>
      <c r="B5" s="293">
        <f>H6*I14</f>
        <v>11822.571396514324</v>
      </c>
      <c r="C5" s="203">
        <v>28800</v>
      </c>
      <c r="D5" s="203">
        <f>B5*C5</f>
        <v>340490056.21961254</v>
      </c>
      <c r="E5" s="378">
        <f>D5/$H$3</f>
        <v>1.106256847356377E-2</v>
      </c>
      <c r="F5" s="209"/>
      <c r="G5" s="560" t="s">
        <v>400</v>
      </c>
      <c r="H5" s="215">
        <v>62471</v>
      </c>
      <c r="I5" s="216" t="s">
        <v>401</v>
      </c>
    </row>
    <row r="6" spans="1:17" x14ac:dyDescent="0.25">
      <c r="A6" s="202" t="s">
        <v>245</v>
      </c>
      <c r="B6" s="293">
        <f>H6*I13</f>
        <v>5881.1368090358292</v>
      </c>
      <c r="C6" s="203">
        <v>451200</v>
      </c>
      <c r="D6" s="203">
        <f>B6*C6</f>
        <v>2653568928.2369661</v>
      </c>
      <c r="E6" s="378">
        <f t="shared" ref="E6:E12" si="0">D6/$H$3</f>
        <v>8.621481723686171E-2</v>
      </c>
      <c r="F6" s="209"/>
      <c r="G6" s="561" t="s">
        <v>326</v>
      </c>
      <c r="H6" s="355">
        <v>18747</v>
      </c>
    </row>
    <row r="7" spans="1:17" x14ac:dyDescent="0.25">
      <c r="A7" s="202" t="s">
        <v>246</v>
      </c>
      <c r="B7" s="293">
        <v>0</v>
      </c>
      <c r="C7" s="203">
        <v>1008000</v>
      </c>
      <c r="D7" s="203">
        <f>B7*C7</f>
        <v>0</v>
      </c>
      <c r="E7" s="378">
        <f t="shared" si="0"/>
        <v>0</v>
      </c>
      <c r="F7" s="209"/>
      <c r="G7" s="561" t="s">
        <v>403</v>
      </c>
      <c r="H7" s="170">
        <v>43465</v>
      </c>
      <c r="I7" s="302"/>
    </row>
    <row r="8" spans="1:17" x14ac:dyDescent="0.25">
      <c r="A8" s="202" t="s">
        <v>247</v>
      </c>
      <c r="B8" s="293">
        <v>0</v>
      </c>
      <c r="C8" s="203">
        <v>2553600</v>
      </c>
      <c r="D8" s="203">
        <f>B8*C8</f>
        <v>0</v>
      </c>
      <c r="E8" s="378">
        <f t="shared" si="0"/>
        <v>0</v>
      </c>
      <c r="F8" s="209"/>
      <c r="G8" s="561" t="s">
        <v>327</v>
      </c>
      <c r="H8" s="170">
        <v>259</v>
      </c>
      <c r="Q8" t="s">
        <v>314</v>
      </c>
    </row>
    <row r="9" spans="1:17" x14ac:dyDescent="0.25">
      <c r="A9" s="202" t="s">
        <v>248</v>
      </c>
      <c r="B9" s="293">
        <f>H6*I12</f>
        <v>1043.2917944498467</v>
      </c>
      <c r="C9" s="203">
        <v>5692800</v>
      </c>
      <c r="D9" s="203">
        <f>B9*C9</f>
        <v>5939251527.444088</v>
      </c>
      <c r="E9" s="378">
        <f t="shared" si="0"/>
        <v>0.19296709405719162</v>
      </c>
      <c r="F9" s="209"/>
      <c r="H9" s="170"/>
      <c r="Q9" t="s">
        <v>315</v>
      </c>
    </row>
    <row r="10" spans="1:17" x14ac:dyDescent="0.25">
      <c r="A10" s="202" t="s">
        <v>249</v>
      </c>
      <c r="B10" s="293">
        <f>H8</f>
        <v>259</v>
      </c>
      <c r="C10" s="203">
        <v>9600000</v>
      </c>
      <c r="D10" s="203">
        <f t="shared" ref="D10:D11" si="1">B10*C10</f>
        <v>2486400000</v>
      </c>
      <c r="E10" s="378">
        <f t="shared" si="0"/>
        <v>8.0783475905469304E-2</v>
      </c>
      <c r="F10" s="209"/>
      <c r="G10" s="562" t="s">
        <v>473</v>
      </c>
      <c r="H10" s="215"/>
      <c r="I10" s="1" t="s">
        <v>479</v>
      </c>
    </row>
    <row r="11" spans="1:17" x14ac:dyDescent="0.25">
      <c r="A11" s="202" t="s">
        <v>250</v>
      </c>
      <c r="B11" s="294">
        <f>H7</f>
        <v>43465</v>
      </c>
      <c r="C11" s="204">
        <v>4252</v>
      </c>
      <c r="D11" s="203">
        <f t="shared" si="1"/>
        <v>184813180</v>
      </c>
      <c r="E11" s="378">
        <f t="shared" si="0"/>
        <v>6.0046054832461233E-3</v>
      </c>
      <c r="F11" s="209"/>
      <c r="G11" s="560" t="s">
        <v>478</v>
      </c>
      <c r="H11" s="215">
        <v>281</v>
      </c>
      <c r="I11" s="301"/>
    </row>
    <row r="12" spans="1:17" ht="30" x14ac:dyDescent="0.25">
      <c r="A12" s="205" t="s">
        <v>23</v>
      </c>
      <c r="B12" s="295">
        <f>SUM(B4:B11)</f>
        <v>62471</v>
      </c>
      <c r="C12" s="206"/>
      <c r="D12" s="207">
        <f>SUM(D5:D11)</f>
        <v>11604523691.900667</v>
      </c>
      <c r="E12" s="378">
        <f t="shared" si="0"/>
        <v>0.37703256115633255</v>
      </c>
      <c r="F12" s="209"/>
      <c r="G12" s="563" t="s">
        <v>475</v>
      </c>
      <c r="H12" s="558">
        <v>1488</v>
      </c>
      <c r="I12" s="301">
        <f t="shared" ref="I12:I14" si="2">H12/$H$16</f>
        <v>5.5651133218640139E-2</v>
      </c>
    </row>
    <row r="13" spans="1:17" ht="30" x14ac:dyDescent="0.25">
      <c r="A13" s="574"/>
      <c r="B13" s="575"/>
      <c r="C13" s="575"/>
      <c r="D13" s="576"/>
      <c r="E13" s="208"/>
      <c r="F13" s="209"/>
      <c r="G13" s="560" t="s">
        <v>474</v>
      </c>
      <c r="H13" s="217">
        <v>8388</v>
      </c>
      <c r="I13" s="301">
        <f t="shared" si="2"/>
        <v>0.31371082354701174</v>
      </c>
      <c r="M13" s="170"/>
    </row>
    <row r="14" spans="1:17" x14ac:dyDescent="0.25">
      <c r="A14" s="209"/>
      <c r="B14" s="210"/>
      <c r="C14" s="209"/>
      <c r="D14" s="210"/>
      <c r="E14" s="209"/>
      <c r="F14" s="209"/>
      <c r="G14" s="560" t="s">
        <v>476</v>
      </c>
      <c r="H14" s="218">
        <v>16862</v>
      </c>
      <c r="I14" s="301">
        <f t="shared" si="2"/>
        <v>0.63063804323434813</v>
      </c>
      <c r="M14" s="302"/>
    </row>
    <row r="15" spans="1:17" x14ac:dyDescent="0.25">
      <c r="A15" s="209"/>
      <c r="B15" s="230"/>
      <c r="C15" s="209"/>
      <c r="D15" s="221"/>
      <c r="E15" s="209" t="s">
        <v>324</v>
      </c>
      <c r="F15" s="211">
        <f>'Economic Competitiveness'!E48</f>
        <v>2.5703258497288287E-2</v>
      </c>
      <c r="G15" s="563" t="s">
        <v>477</v>
      </c>
      <c r="H15" s="558">
        <v>131398</v>
      </c>
      <c r="I15" s="7"/>
    </row>
    <row r="16" spans="1:17" ht="30" x14ac:dyDescent="0.25">
      <c r="A16" s="209"/>
      <c r="B16" s="209"/>
      <c r="C16" s="209"/>
      <c r="D16" s="221"/>
      <c r="E16" s="209"/>
      <c r="F16" s="209"/>
      <c r="G16" s="564" t="s">
        <v>480</v>
      </c>
      <c r="H16" s="558">
        <f>SUM(H12:H14)</f>
        <v>26738</v>
      </c>
      <c r="I16" s="7">
        <f>SUM(I12:I14)</f>
        <v>1</v>
      </c>
    </row>
    <row r="17" spans="2:9" x14ac:dyDescent="0.25">
      <c r="B17" s="222" t="s">
        <v>252</v>
      </c>
      <c r="C17" s="34"/>
      <c r="D17" s="34"/>
      <c r="E17" s="380"/>
      <c r="F17" s="219"/>
      <c r="G17" s="564"/>
      <c r="H17" s="558"/>
      <c r="I17" s="7"/>
    </row>
    <row r="18" spans="2:9" x14ac:dyDescent="0.25">
      <c r="B18" s="131" t="s">
        <v>253</v>
      </c>
      <c r="C18" s="39"/>
      <c r="D18" s="381"/>
      <c r="E18" s="39"/>
      <c r="F18" s="219"/>
      <c r="G18" s="560"/>
      <c r="H18" s="209"/>
      <c r="I18" s="7"/>
    </row>
    <row r="19" spans="2:9" ht="30" x14ac:dyDescent="0.25">
      <c r="B19" s="223" t="s">
        <v>0</v>
      </c>
      <c r="C19" s="224" t="s">
        <v>254</v>
      </c>
      <c r="D19" s="132" t="s">
        <v>328</v>
      </c>
      <c r="E19" s="224" t="s">
        <v>255</v>
      </c>
      <c r="F19" s="225"/>
      <c r="G19" s="565"/>
      <c r="H19" s="213"/>
    </row>
    <row r="20" spans="2:9" x14ac:dyDescent="0.25">
      <c r="B20" s="220">
        <v>2018</v>
      </c>
      <c r="C20" s="226">
        <f>'Environmental Protection'!C144</f>
        <v>0</v>
      </c>
      <c r="D20" s="379">
        <f>E12</f>
        <v>0.37703256115633255</v>
      </c>
      <c r="E20" s="227">
        <f t="shared" ref="E20:E58" si="3">C20*D20</f>
        <v>0</v>
      </c>
      <c r="F20" s="76"/>
      <c r="G20" s="560"/>
      <c r="H20" s="209"/>
    </row>
    <row r="21" spans="2:9" x14ac:dyDescent="0.25">
      <c r="B21" s="220">
        <v>2019</v>
      </c>
      <c r="C21" s="226">
        <f>'Environmental Protection'!C145</f>
        <v>0</v>
      </c>
      <c r="D21" s="379">
        <f t="shared" ref="D21:D59" si="4">D20*(1+$F$15)</f>
        <v>0.38672352653762843</v>
      </c>
      <c r="E21" s="227">
        <f t="shared" si="3"/>
        <v>0</v>
      </c>
      <c r="F21" s="76"/>
      <c r="G21" s="560"/>
      <c r="H21" s="209"/>
    </row>
    <row r="22" spans="2:9" x14ac:dyDescent="0.25">
      <c r="B22" s="220">
        <v>2020</v>
      </c>
      <c r="C22" s="226">
        <f>'Environmental Protection'!C146</f>
        <v>0</v>
      </c>
      <c r="D22" s="379">
        <f t="shared" si="4"/>
        <v>0.39666358130720802</v>
      </c>
      <c r="E22" s="227">
        <f t="shared" si="3"/>
        <v>0</v>
      </c>
      <c r="F22" s="76"/>
      <c r="G22" s="560"/>
      <c r="H22" s="209"/>
    </row>
    <row r="23" spans="2:9" x14ac:dyDescent="0.25">
      <c r="B23" s="220">
        <v>2021</v>
      </c>
      <c r="C23" s="226">
        <f>'Environmental Protection'!C147</f>
        <v>0</v>
      </c>
      <c r="D23" s="379">
        <f t="shared" si="4"/>
        <v>0.4068591278740073</v>
      </c>
      <c r="E23" s="227">
        <f t="shared" si="3"/>
        <v>0</v>
      </c>
      <c r="F23" s="76"/>
      <c r="G23" s="560"/>
      <c r="H23" s="209"/>
    </row>
    <row r="24" spans="2:9" x14ac:dyDescent="0.25">
      <c r="B24" s="220">
        <v>2022</v>
      </c>
      <c r="C24" s="226">
        <f>'Environmental Protection'!C148</f>
        <v>89445.217406463853</v>
      </c>
      <c r="D24" s="379">
        <f t="shared" si="4"/>
        <v>0.41731673320973417</v>
      </c>
      <c r="E24" s="227">
        <f t="shared" si="3"/>
        <v>37326.985929299946</v>
      </c>
      <c r="F24" s="76"/>
      <c r="G24" s="560"/>
      <c r="H24" s="209"/>
    </row>
    <row r="25" spans="2:9" x14ac:dyDescent="0.25">
      <c r="B25" s="220">
        <v>2023</v>
      </c>
      <c r="C25" s="226">
        <f>'Environmental Protection'!C149</f>
        <v>254305.86060531309</v>
      </c>
      <c r="D25" s="379">
        <f t="shared" si="4"/>
        <v>0.42804313307866787</v>
      </c>
      <c r="E25" s="227">
        <f t="shared" si="3"/>
        <v>108853.87733376519</v>
      </c>
      <c r="F25" s="76"/>
      <c r="G25" s="560"/>
      <c r="H25" s="209"/>
    </row>
    <row r="26" spans="2:9" x14ac:dyDescent="0.25">
      <c r="B26" s="220">
        <v>2024</v>
      </c>
      <c r="C26" s="226">
        <f>'Environmental Protection'!C150</f>
        <v>412556.60547762894</v>
      </c>
      <c r="D26" s="379">
        <f t="shared" si="4"/>
        <v>0.43904523637617804</v>
      </c>
      <c r="E26" s="227">
        <f t="shared" si="3"/>
        <v>181131.01237047923</v>
      </c>
      <c r="F26" s="76"/>
      <c r="G26" s="560"/>
      <c r="H26" s="209"/>
    </row>
    <row r="27" spans="2:9" x14ac:dyDescent="0.25">
      <c r="B27" s="220">
        <v>2025</v>
      </c>
      <c r="C27" s="226">
        <f>'Environmental Protection'!C151</f>
        <v>564124.96275006607</v>
      </c>
      <c r="D27" s="379">
        <f t="shared" si="4"/>
        <v>0.45033012957875795</v>
      </c>
      <c r="E27" s="227">
        <f t="shared" si="3"/>
        <v>254042.46757384925</v>
      </c>
      <c r="F27" s="76"/>
      <c r="G27" s="560"/>
      <c r="H27" s="209"/>
    </row>
    <row r="28" spans="2:9" x14ac:dyDescent="0.25">
      <c r="B28" s="220">
        <v>2026</v>
      </c>
      <c r="C28" s="226">
        <f>'Environmental Protection'!C152</f>
        <v>708938.31356493104</v>
      </c>
      <c r="D28" s="379">
        <f t="shared" si="4"/>
        <v>0.4619050813084381</v>
      </c>
      <c r="E28" s="227">
        <f t="shared" si="3"/>
        <v>327462.20936987648</v>
      </c>
      <c r="F28" s="76"/>
      <c r="G28" s="560"/>
      <c r="H28" s="209"/>
    </row>
    <row r="29" spans="2:9" x14ac:dyDescent="0.25">
      <c r="B29" s="220">
        <v>2027</v>
      </c>
      <c r="C29" s="226">
        <f>'Environmental Protection'!C153</f>
        <v>916923.93600543775</v>
      </c>
      <c r="D29" s="379">
        <f t="shared" si="4"/>
        <v>0.47377754701451985</v>
      </c>
      <c r="E29" s="227">
        <f t="shared" si="3"/>
        <v>434417.97319955489</v>
      </c>
      <c r="F29" s="76"/>
      <c r="G29" s="560"/>
      <c r="H29" s="209"/>
    </row>
    <row r="30" spans="2:9" x14ac:dyDescent="0.25">
      <c r="B30" s="220">
        <v>2028</v>
      </c>
      <c r="C30" s="226">
        <f>'Environmental Protection'!C154</f>
        <v>1118009.0327921624</v>
      </c>
      <c r="D30" s="379">
        <f t="shared" si="4"/>
        <v>0.48595517377564518</v>
      </c>
      <c r="E30" s="227">
        <f t="shared" si="3"/>
        <v>543302.2738132563</v>
      </c>
      <c r="F30" s="76"/>
      <c r="G30" s="560"/>
      <c r="H30" s="209"/>
    </row>
    <row r="31" spans="2:9" x14ac:dyDescent="0.25">
      <c r="B31" s="220">
        <v>2029</v>
      </c>
      <c r="C31" s="226">
        <f>'Environmental Protection'!C155</f>
        <v>1312120.7601881549</v>
      </c>
      <c r="D31" s="379">
        <f t="shared" si="4"/>
        <v>0.49844580522529525</v>
      </c>
      <c r="E31" s="227">
        <f t="shared" si="3"/>
        <v>654021.08886481135</v>
      </c>
      <c r="F31" s="76"/>
      <c r="G31" s="560"/>
      <c r="H31" s="209"/>
    </row>
    <row r="32" spans="2:9" x14ac:dyDescent="0.25">
      <c r="B32" s="220">
        <v>2030</v>
      </c>
      <c r="C32" s="226">
        <f>'Environmental Protection'!C156</f>
        <v>1499186.2581513219</v>
      </c>
      <c r="D32" s="379">
        <f t="shared" si="4"/>
        <v>0.51125748660389003</v>
      </c>
      <c r="E32" s="227">
        <f t="shared" si="3"/>
        <v>766470.1982935355</v>
      </c>
      <c r="F32" s="76"/>
      <c r="G32" s="560"/>
      <c r="H32" s="209"/>
    </row>
    <row r="33" spans="2:5" x14ac:dyDescent="0.25">
      <c r="B33">
        <f>B32+1</f>
        <v>2031</v>
      </c>
      <c r="C33" s="226">
        <f>'Environmental Protection'!C157</f>
        <v>1679132.6817736954</v>
      </c>
      <c r="D33" s="379">
        <f t="shared" si="4"/>
        <v>0.52439846994074368</v>
      </c>
      <c r="E33" s="227">
        <f t="shared" si="3"/>
        <v>880534.60914962355</v>
      </c>
    </row>
    <row r="34" spans="2:5" x14ac:dyDescent="0.25">
      <c r="B34">
        <f t="shared" ref="B34:B54" si="5">B33+1</f>
        <v>2032</v>
      </c>
      <c r="C34" s="226">
        <f>'Environmental Protection'!C158</f>
        <v>1921887.2340483628</v>
      </c>
      <c r="D34" s="379">
        <f t="shared" si="4"/>
        <v>0.53787721936921307</v>
      </c>
      <c r="E34" s="227">
        <f t="shared" si="3"/>
        <v>1033739.3613911214</v>
      </c>
    </row>
    <row r="35" spans="2:5" x14ac:dyDescent="0.25">
      <c r="B35">
        <f t="shared" si="5"/>
        <v>2033</v>
      </c>
      <c r="C35" s="226">
        <f>'Environmental Protection'!C159</f>
        <v>2157377.2000059052</v>
      </c>
      <c r="D35" s="379">
        <f t="shared" si="4"/>
        <v>0.55170241657846253</v>
      </c>
      <c r="E35" s="227">
        <f t="shared" si="3"/>
        <v>1190230.214714535</v>
      </c>
    </row>
    <row r="36" spans="2:5" x14ac:dyDescent="0.25">
      <c r="B36">
        <f t="shared" si="5"/>
        <v>2034</v>
      </c>
      <c r="C36" s="226">
        <f>'Environmental Protection'!C160</f>
        <v>2385529.9822634477</v>
      </c>
      <c r="D36" s="379">
        <f t="shared" si="4"/>
        <v>0.5658829664053574</v>
      </c>
      <c r="E36" s="227">
        <f t="shared" si="3"/>
        <v>1349930.7828121595</v>
      </c>
    </row>
    <row r="37" spans="2:5" x14ac:dyDescent="0.25">
      <c r="B37">
        <f t="shared" si="5"/>
        <v>2035</v>
      </c>
      <c r="C37" s="226">
        <f>'Environmental Protection'!C161</f>
        <v>2606273.1380305956</v>
      </c>
      <c r="D37" s="379">
        <f t="shared" si="4"/>
        <v>0.58042800257008664</v>
      </c>
      <c r="E37" s="227">
        <f t="shared" si="3"/>
        <v>1512753.9116591704</v>
      </c>
    </row>
    <row r="38" spans="2:5" x14ac:dyDescent="0.25">
      <c r="B38">
        <f t="shared" si="5"/>
        <v>2036</v>
      </c>
      <c r="C38" s="226">
        <f>'Environmental Protection'!C162</f>
        <v>2889534.4176177988</v>
      </c>
      <c r="D38" s="379">
        <f t="shared" si="4"/>
        <v>0.59534689355921033</v>
      </c>
      <c r="E38" s="227">
        <f t="shared" si="3"/>
        <v>1720275.3393611785</v>
      </c>
    </row>
    <row r="39" spans="2:5" x14ac:dyDescent="0.25">
      <c r="B39">
        <f t="shared" si="5"/>
        <v>2037</v>
      </c>
      <c r="C39" s="226">
        <f>'Environmental Protection'!C163</f>
        <v>3165241.804493784</v>
      </c>
      <c r="D39" s="379">
        <f t="shared" si="4"/>
        <v>0.61064924865992032</v>
      </c>
      <c r="E39" s="227">
        <f t="shared" si="3"/>
        <v>1932852.5297410996</v>
      </c>
    </row>
    <row r="40" spans="2:5" x14ac:dyDescent="0.25">
      <c r="B40">
        <f t="shared" si="5"/>
        <v>2038</v>
      </c>
      <c r="C40" s="226">
        <f>'Environmental Protection'!C164</f>
        <v>3433323.5569404056</v>
      </c>
      <c r="D40" s="379">
        <f t="shared" si="4"/>
        <v>0.62634492414940113</v>
      </c>
      <c r="E40" s="227">
        <f t="shared" si="3"/>
        <v>2150444.7828521905</v>
      </c>
    </row>
    <row r="41" spans="2:5" x14ac:dyDescent="0.25">
      <c r="B41">
        <f t="shared" si="5"/>
        <v>2039</v>
      </c>
      <c r="C41" s="226">
        <f>'Environmental Protection'!C165</f>
        <v>3693708.2513539921</v>
      </c>
      <c r="D41" s="379">
        <f t="shared" si="4"/>
        <v>0.64244402964327763</v>
      </c>
      <c r="E41" s="227">
        <f t="shared" si="3"/>
        <v>2373000.8133264831</v>
      </c>
    </row>
    <row r="42" spans="2:5" x14ac:dyDescent="0.25">
      <c r="B42">
        <f t="shared" si="5"/>
        <v>2040</v>
      </c>
      <c r="C42" s="226">
        <f>'Environmental Protection'!C166</f>
        <v>4016324.8272443321</v>
      </c>
      <c r="D42" s="379">
        <f t="shared" si="4"/>
        <v>0.65895693460723836</v>
      </c>
      <c r="E42" s="227">
        <f t="shared" si="3"/>
        <v>2646585.0965478714</v>
      </c>
    </row>
    <row r="43" spans="2:5" x14ac:dyDescent="0.25">
      <c r="B43">
        <f t="shared" si="5"/>
        <v>2041</v>
      </c>
      <c r="C43" s="226">
        <f>'Environmental Protection'!C167</f>
        <v>4331102.6339832256</v>
      </c>
      <c r="D43" s="379">
        <f t="shared" si="4"/>
        <v>0.67589427503602895</v>
      </c>
      <c r="E43" s="227">
        <f t="shared" si="3"/>
        <v>2927367.4749027276</v>
      </c>
    </row>
    <row r="44" spans="2:5" x14ac:dyDescent="0.25">
      <c r="B44">
        <f t="shared" si="5"/>
        <v>2042</v>
      </c>
      <c r="C44" s="226">
        <f>'Environmental Protection'!C168</f>
        <v>4637971.4793563439</v>
      </c>
      <c r="D44" s="379">
        <f t="shared" si="4"/>
        <v>0.69326696030411727</v>
      </c>
      <c r="E44" s="227">
        <f t="shared" si="3"/>
        <v>3215352.3894705623</v>
      </c>
    </row>
    <row r="45" spans="2:5" x14ac:dyDescent="0.25">
      <c r="B45">
        <f t="shared" si="5"/>
        <v>2043</v>
      </c>
      <c r="C45" s="226">
        <f>'Environmental Protection'!C169</f>
        <v>4936861.6799735501</v>
      </c>
      <c r="D45" s="379">
        <f t="shared" si="4"/>
        <v>0.7110861801924433</v>
      </c>
      <c r="E45" s="227">
        <f t="shared" si="3"/>
        <v>3510534.1141508403</v>
      </c>
    </row>
    <row r="46" spans="2:5" x14ac:dyDescent="0.25">
      <c r="B46">
        <f t="shared" si="5"/>
        <v>2044</v>
      </c>
      <c r="C46" s="226">
        <f>'Environmental Protection'!C170</f>
        <v>5297704.113594274</v>
      </c>
      <c r="D46" s="379">
        <f t="shared" si="4"/>
        <v>0.72936341209577893</v>
      </c>
      <c r="E46" s="227">
        <f t="shared" si="3"/>
        <v>3863951.5485649635</v>
      </c>
    </row>
    <row r="47" spans="2:5" x14ac:dyDescent="0.25">
      <c r="B47">
        <f t="shared" si="5"/>
        <v>2045</v>
      </c>
      <c r="C47" s="226">
        <f>'Environmental Protection'!C171</f>
        <v>5650430.2734261984</v>
      </c>
      <c r="D47" s="379">
        <f t="shared" si="4"/>
        <v>0.74811042841534092</v>
      </c>
      <c r="E47" s="227">
        <f t="shared" si="3"/>
        <v>4227145.8125838852</v>
      </c>
    </row>
    <row r="48" spans="2:5" x14ac:dyDescent="0.25">
      <c r="B48">
        <f t="shared" si="5"/>
        <v>2046</v>
      </c>
      <c r="C48" s="226">
        <f>'Environmental Protection'!C172</f>
        <v>5994972.3244569767</v>
      </c>
      <c r="D48" s="379">
        <f t="shared" si="4"/>
        <v>0.76733930414141749</v>
      </c>
      <c r="E48" s="227">
        <f t="shared" si="3"/>
        <v>4600177.8917958727</v>
      </c>
    </row>
    <row r="49" spans="1:6" x14ac:dyDescent="0.25">
      <c r="B49">
        <f t="shared" si="5"/>
        <v>2047</v>
      </c>
      <c r="C49" s="226">
        <f>'Environmental Protection'!C173</f>
        <v>6401263.1618804634</v>
      </c>
      <c r="D49" s="379">
        <f t="shared" si="4"/>
        <v>0.7870624246308936</v>
      </c>
      <c r="E49" s="227">
        <f t="shared" si="3"/>
        <v>5038193.7048900574</v>
      </c>
    </row>
    <row r="50" spans="1:6" x14ac:dyDescent="0.25">
      <c r="B50">
        <f t="shared" si="5"/>
        <v>2048</v>
      </c>
      <c r="C50" s="226">
        <f>'Environmental Protection'!C174</f>
        <v>6799236.4716806412</v>
      </c>
      <c r="D50" s="379">
        <f t="shared" si="4"/>
        <v>0.80729249358468391</v>
      </c>
      <c r="E50" s="227">
        <f t="shared" si="3"/>
        <v>5488972.5656949924</v>
      </c>
    </row>
    <row r="51" spans="1:6" x14ac:dyDescent="0.25">
      <c r="B51">
        <f t="shared" si="5"/>
        <v>2049</v>
      </c>
      <c r="C51" s="226">
        <f>'Environmental Protection'!C175</f>
        <v>7188826.7934380537</v>
      </c>
      <c r="D51" s="379">
        <f t="shared" si="4"/>
        <v>0.82804254123021148</v>
      </c>
      <c r="E51" s="227">
        <f t="shared" si="3"/>
        <v>5952654.4065022785</v>
      </c>
    </row>
    <row r="52" spans="1:6" x14ac:dyDescent="0.25">
      <c r="B52">
        <f t="shared" si="5"/>
        <v>2050</v>
      </c>
      <c r="C52" s="226">
        <f>'Environmental Protection'!C176</f>
        <v>7569969.5854252428</v>
      </c>
      <c r="D52" s="379">
        <f t="shared" si="4"/>
        <v>0.84932593271420309</v>
      </c>
      <c r="E52" s="227">
        <f t="shared" si="3"/>
        <v>6429371.4787594434</v>
      </c>
    </row>
    <row r="53" spans="1:6" x14ac:dyDescent="0.25">
      <c r="B53">
        <f t="shared" si="5"/>
        <v>2051</v>
      </c>
      <c r="C53" s="226">
        <f>'Environmental Protection'!C177</f>
        <v>8012601.2920600027</v>
      </c>
      <c r="D53" s="379">
        <f t="shared" si="4"/>
        <v>0.87115637671120671</v>
      </c>
      <c r="E53" s="227">
        <f t="shared" si="3"/>
        <v>6980228.7096225256</v>
      </c>
    </row>
    <row r="54" spans="1:6" x14ac:dyDescent="0.25">
      <c r="B54">
        <f t="shared" si="5"/>
        <v>2052</v>
      </c>
      <c r="C54" s="226">
        <f>'Environmental Protection'!C178</f>
        <v>8446659.4137862585</v>
      </c>
      <c r="D54" s="379">
        <f t="shared" si="4"/>
        <v>0.89354793425337586</v>
      </c>
      <c r="E54" s="227">
        <f t="shared" si="3"/>
        <v>7547495.0705305422</v>
      </c>
    </row>
    <row r="55" spans="1:6" x14ac:dyDescent="0.25">
      <c r="B55" s="68">
        <f>B54+1</f>
        <v>2053</v>
      </c>
      <c r="C55" s="226">
        <f>'Environmental Protection'!C179</f>
        <v>8872082.5794552043</v>
      </c>
      <c r="D55" s="379">
        <f t="shared" si="4"/>
        <v>0.91651502778720828</v>
      </c>
      <c r="E55" s="227">
        <f t="shared" si="3"/>
        <v>8131397.0118397931</v>
      </c>
      <c r="F55" s="68"/>
    </row>
    <row r="56" spans="1:6" x14ac:dyDescent="0.25">
      <c r="B56" s="68">
        <f>B55+1</f>
        <v>2054</v>
      </c>
      <c r="C56" s="226">
        <f>'Environmental Protection'!C180</f>
        <v>9358810.6212807707</v>
      </c>
      <c r="D56" s="379">
        <f t="shared" si="4"/>
        <v>0.9400724504630722</v>
      </c>
      <c r="E56" s="227">
        <f t="shared" si="3"/>
        <v>8797960.0341672413</v>
      </c>
      <c r="F56" s="68"/>
    </row>
    <row r="57" spans="1:6" x14ac:dyDescent="0.25">
      <c r="B57" s="68">
        <f>B56+1</f>
        <v>2055</v>
      </c>
      <c r="C57" s="226">
        <f>'Environmental Protection'!C181</f>
        <v>9836784.6524454784</v>
      </c>
      <c r="D57" s="379">
        <f t="shared" si="4"/>
        <v>0.96423537566350381</v>
      </c>
      <c r="E57" s="227">
        <f t="shared" si="3"/>
        <v>9484975.7446717545</v>
      </c>
    </row>
    <row r="58" spans="1:6" x14ac:dyDescent="0.25">
      <c r="A58" s="68"/>
      <c r="B58" s="68">
        <f>B57+1</f>
        <v>2056</v>
      </c>
      <c r="C58" s="226">
        <f>'Environmental Protection'!C182</f>
        <v>10375947.147435106</v>
      </c>
      <c r="D58" s="503">
        <f t="shared" si="4"/>
        <v>0.98901936677641267</v>
      </c>
      <c r="E58" s="227">
        <f t="shared" si="3"/>
        <v>10262012.677461794</v>
      </c>
    </row>
    <row r="59" spans="1:6" x14ac:dyDescent="0.25">
      <c r="A59" s="3"/>
      <c r="B59" s="3">
        <f>B58+1</f>
        <v>2057</v>
      </c>
      <c r="C59" s="297">
        <f>'Environmental Protection'!C183</f>
        <v>10601402.037531247</v>
      </c>
      <c r="D59" s="382">
        <f t="shared" si="4"/>
        <v>1.0144403872194911</v>
      </c>
      <c r="E59" s="298">
        <f t="shared" ref="E59" si="6">C59*D59</f>
        <v>10754490.3880227</v>
      </c>
    </row>
    <row r="60" spans="1:6" x14ac:dyDescent="0.25">
      <c r="B60" s="1" t="s">
        <v>3</v>
      </c>
      <c r="C60" s="1"/>
      <c r="E60" s="296">
        <f>SUM(E20:E59)</f>
        <v>127309656.55193585</v>
      </c>
    </row>
  </sheetData>
  <mergeCells count="1">
    <mergeCell ref="A13:D13"/>
  </mergeCells>
  <pageMargins left="0.7" right="0.7" top="0.75" bottom="0.75" header="0.3" footer="0.3"/>
  <pageSetup paperSize="3" scale="68" orientation="landscape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28" sqref="C28"/>
    </sheetView>
  </sheetViews>
  <sheetFormatPr defaultRowHeight="15" x14ac:dyDescent="0.25"/>
  <cols>
    <col min="1" max="1" width="35.85546875" customWidth="1"/>
    <col min="2" max="2" width="19.28515625" customWidth="1"/>
    <col min="3" max="13" width="15.42578125" customWidth="1"/>
  </cols>
  <sheetData>
    <row r="1" spans="1:5" x14ac:dyDescent="0.25">
      <c r="B1" s="46" t="s">
        <v>332</v>
      </c>
      <c r="C1" s="46" t="s">
        <v>333</v>
      </c>
      <c r="D1" s="46" t="s">
        <v>319</v>
      </c>
      <c r="E1" s="341"/>
    </row>
    <row r="2" spans="1:5" x14ac:dyDescent="0.25">
      <c r="A2" t="s">
        <v>329</v>
      </c>
      <c r="B2" s="170">
        <v>2774283</v>
      </c>
      <c r="C2" s="23" t="s">
        <v>334</v>
      </c>
      <c r="D2" s="23" t="s">
        <v>334</v>
      </c>
    </row>
    <row r="3" spans="1:5" x14ac:dyDescent="0.25">
      <c r="A3" t="s">
        <v>330</v>
      </c>
      <c r="B3" s="170">
        <v>3309234</v>
      </c>
      <c r="C3" s="302">
        <f>B3-B2</f>
        <v>534951</v>
      </c>
      <c r="D3" s="360">
        <f>RATE(10,,-B2,B3)</f>
        <v>1.7788809911031395E-2</v>
      </c>
    </row>
    <row r="4" spans="1:5" x14ac:dyDescent="0.25">
      <c r="A4" t="s">
        <v>331</v>
      </c>
      <c r="B4" s="170">
        <v>3914984</v>
      </c>
      <c r="C4" s="302">
        <f>B4-B3</f>
        <v>605750</v>
      </c>
      <c r="D4" s="360">
        <f>RATE(10,,-B3,B4)</f>
        <v>1.6951523740812061E-2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Assumptions</vt:lpstr>
      <vt:lpstr>Ridership</vt:lpstr>
      <vt:lpstr>Economic Competitiveness</vt:lpstr>
      <vt:lpstr>Environmental Protection</vt:lpstr>
      <vt:lpstr>Safety</vt:lpstr>
      <vt:lpstr>Other</vt:lpstr>
      <vt:lpstr>Assumptions!Print_Area</vt:lpstr>
      <vt:lpstr>'Economic Competitiveness'!Print_Area</vt:lpstr>
      <vt:lpstr>'Environmental Protection'!Print_Area</vt:lpstr>
      <vt:lpstr>Safety!Print_Area</vt:lpstr>
      <vt:lpstr>Summary!Print_Area</vt:lpstr>
      <vt:lpstr>Ridership!Print_Titles</vt:lpstr>
    </vt:vector>
  </TitlesOfParts>
  <Company>Zions Bancorporation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Becker</dc:creator>
  <cp:lastModifiedBy>Susan Becker</cp:lastModifiedBy>
  <cp:lastPrinted>2018-06-28T14:50:14Z</cp:lastPrinted>
  <dcterms:created xsi:type="dcterms:W3CDTF">2013-05-07T02:05:56Z</dcterms:created>
  <dcterms:modified xsi:type="dcterms:W3CDTF">2018-07-13T16:28:10Z</dcterms:modified>
</cp:coreProperties>
</file>